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/Desktop/"/>
    </mc:Choice>
  </mc:AlternateContent>
  <xr:revisionPtr revIDLastSave="0" documentId="8_{AE65DF93-A6AC-E848-8512-F49073D92B94}" xr6:coauthVersionLast="47" xr6:coauthVersionMax="47" xr10:uidLastSave="{00000000-0000-0000-0000-000000000000}"/>
  <bookViews>
    <workbookView xWindow="0" yWindow="500" windowWidth="28800" windowHeight="16300" xr2:uid="{407EC49D-3098-294B-ABCF-77F567B61F8D}"/>
  </bookViews>
  <sheets>
    <sheet name="3x Wee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3" l="1"/>
  <c r="R23" i="3"/>
  <c r="R22" i="3"/>
  <c r="R21" i="3"/>
  <c r="R20" i="3"/>
  <c r="R16" i="3"/>
  <c r="R15" i="3"/>
  <c r="R14" i="3"/>
  <c r="R13" i="3"/>
  <c r="R9" i="3"/>
  <c r="R8" i="3"/>
  <c r="R7" i="3"/>
  <c r="R6" i="3"/>
  <c r="S24" i="3"/>
  <c r="S23" i="3"/>
  <c r="S22" i="3"/>
  <c r="S21" i="3"/>
  <c r="S20" i="3"/>
  <c r="S16" i="3"/>
  <c r="S15" i="3"/>
  <c r="S14" i="3"/>
  <c r="S13" i="3"/>
  <c r="S9" i="3"/>
  <c r="S8" i="3"/>
  <c r="S7" i="3"/>
  <c r="S6" i="3"/>
  <c r="W24" i="3"/>
  <c r="W23" i="3"/>
  <c r="W22" i="3"/>
  <c r="W21" i="3"/>
  <c r="W20" i="3"/>
  <c r="W16" i="3"/>
  <c r="W15" i="3"/>
  <c r="W14" i="3"/>
  <c r="W13" i="3"/>
  <c r="W9" i="3"/>
  <c r="W8" i="3"/>
  <c r="W7" i="3"/>
  <c r="W6" i="3"/>
  <c r="O24" i="3"/>
  <c r="O23" i="3"/>
  <c r="O22" i="3"/>
  <c r="O21" i="3"/>
  <c r="O20" i="3"/>
  <c r="O16" i="3"/>
  <c r="O15" i="3"/>
  <c r="O14" i="3"/>
  <c r="O13" i="3"/>
  <c r="O9" i="3"/>
  <c r="O8" i="3"/>
  <c r="O7" i="3"/>
  <c r="O6" i="3"/>
  <c r="V24" i="3"/>
  <c r="V23" i="3"/>
  <c r="V22" i="3"/>
  <c r="V21" i="3"/>
  <c r="V20" i="3"/>
  <c r="N24" i="3"/>
  <c r="N23" i="3"/>
  <c r="N22" i="3"/>
  <c r="N21" i="3"/>
  <c r="N20" i="3"/>
  <c r="V16" i="3"/>
  <c r="V15" i="3"/>
  <c r="V14" i="3"/>
  <c r="V13" i="3"/>
  <c r="N16" i="3"/>
  <c r="N15" i="3"/>
  <c r="N14" i="3"/>
  <c r="N13" i="3"/>
  <c r="V9" i="3"/>
  <c r="V8" i="3"/>
  <c r="V7" i="3"/>
  <c r="V6" i="3"/>
  <c r="N9" i="3"/>
  <c r="N8" i="3"/>
  <c r="N7" i="3"/>
  <c r="N6" i="3"/>
  <c r="K24" i="3"/>
  <c r="K23" i="3"/>
  <c r="K22" i="3"/>
  <c r="K21" i="3"/>
  <c r="K20" i="3"/>
  <c r="K16" i="3"/>
  <c r="K15" i="3"/>
  <c r="K14" i="3"/>
  <c r="K13" i="3"/>
  <c r="K9" i="3"/>
  <c r="K8" i="3"/>
  <c r="K7" i="3"/>
  <c r="K6" i="3"/>
  <c r="J24" i="3"/>
  <c r="J23" i="3"/>
  <c r="J22" i="3"/>
  <c r="J21" i="3"/>
  <c r="J20" i="3"/>
  <c r="J16" i="3"/>
  <c r="J15" i="3"/>
  <c r="J14" i="3"/>
  <c r="J13" i="3"/>
  <c r="J9" i="3"/>
  <c r="J8" i="3"/>
  <c r="J7" i="3"/>
  <c r="J6" i="3"/>
  <c r="J3" i="3"/>
  <c r="N3" i="3" l="1"/>
  <c r="R3" i="3" s="1"/>
  <c r="V3" i="3" s="1"/>
  <c r="K3" i="3" l="1"/>
  <c r="O3" i="3" s="1"/>
  <c r="S3" i="3" s="1"/>
  <c r="W3" i="3" s="1"/>
</calcChain>
</file>

<file path=xl/sharedStrings.xml><?xml version="1.0" encoding="utf-8"?>
<sst xmlns="http://schemas.openxmlformats.org/spreadsheetml/2006/main" count="109" uniqueCount="49">
  <si>
    <t>Day 1</t>
  </si>
  <si>
    <t>Day 2</t>
  </si>
  <si>
    <t>Day 3</t>
  </si>
  <si>
    <t>Sets x Reps</t>
  </si>
  <si>
    <t xml:space="preserve">Weight </t>
  </si>
  <si>
    <t>WEEK 1</t>
  </si>
  <si>
    <t>WEEK 2</t>
  </si>
  <si>
    <t>WEEK 3</t>
  </si>
  <si>
    <t>WEEK 4</t>
  </si>
  <si>
    <t xml:space="preserve">Snatch </t>
  </si>
  <si>
    <t xml:space="preserve">Clean &amp; Jerk </t>
  </si>
  <si>
    <t xml:space="preserve">Clean </t>
  </si>
  <si>
    <t xml:space="preserve">Jerk </t>
  </si>
  <si>
    <t xml:space="preserve">Back Squat </t>
  </si>
  <si>
    <t xml:space="preserve">Front Squat </t>
  </si>
  <si>
    <t>Enter your current maxes in the following row</t>
  </si>
  <si>
    <t xml:space="preserve">Niveau de Fatigue </t>
  </si>
  <si>
    <t>Accessory</t>
  </si>
  <si>
    <t>Normal</t>
  </si>
  <si>
    <t>GHD</t>
  </si>
  <si>
    <t>3x12</t>
  </si>
  <si>
    <t>Obliques au Cable</t>
  </si>
  <si>
    <t>OHP</t>
  </si>
  <si>
    <t>2x5 | 2x10</t>
  </si>
  <si>
    <t>Pull-ups</t>
  </si>
  <si>
    <t>Seal Rows</t>
  </si>
  <si>
    <t>DB Incline Press</t>
  </si>
  <si>
    <t>3x10</t>
  </si>
  <si>
    <t>Facepull</t>
  </si>
  <si>
    <t>3x15</t>
  </si>
  <si>
    <t>Rear Delt Flys</t>
  </si>
  <si>
    <t>2x20</t>
  </si>
  <si>
    <t xml:space="preserve">Gobelet Squat </t>
  </si>
  <si>
    <t>DB Unilateral RDL</t>
  </si>
  <si>
    <t xml:space="preserve">Abduction </t>
  </si>
  <si>
    <t>Back Extension</t>
  </si>
  <si>
    <t>CLHM_M1</t>
  </si>
  <si>
    <t>Period</t>
  </si>
  <si>
    <t>Position_1</t>
  </si>
  <si>
    <t>Deload</t>
  </si>
  <si>
    <t>Clean &amp; Jerk</t>
  </si>
  <si>
    <t>Snatch Pull</t>
  </si>
  <si>
    <t>Tempo Snatch (3 secondes avant extension)</t>
  </si>
  <si>
    <t>Power Clean + Jerk (Si nul en Jerk faire 1+2)</t>
  </si>
  <si>
    <t xml:space="preserve">Snatch Pull + Power Snatch </t>
  </si>
  <si>
    <t>Snatch Pull + Low hang Pull + Hip Pull</t>
  </si>
  <si>
    <t>Snatch Balance</t>
  </si>
  <si>
    <t xml:space="preserve">Snatch + Hang Snatch </t>
  </si>
  <si>
    <t>Clean + Jerk + Low Hang Clean + Jerk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</si>
</sst>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Baskerville Old Face"/>
    </font>
    <font>
      <b/>
      <sz val="12"/>
      <color theme="1"/>
      <name val="Baskerville Old Face"/>
    </font>
    <font>
      <b/>
      <sz val="16"/>
      <color theme="1"/>
      <name val="Baskerville Old Face"/>
    </font>
    <font>
      <b/>
      <sz val="14"/>
      <color theme="1"/>
      <name val="Baskerville Old Face"/>
    </font>
    <font>
      <b/>
      <sz val="18"/>
      <color theme="1"/>
      <name val="Baskerville Old Face"/>
    </font>
  </fonts>
  <fills count="3">
    <fill>
      <patternFill patternType="none"/>
    </fill>
    <fill>
      <patternFill patternType="gray125"/>
    </fill>
    <fill>
      <patternFill patternType="solid">
        <fgColor rgb="FFD7EDF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4" fontId="1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EDF4"/>
      <color rgb="FFAFD1CA"/>
      <color rgb="FF84C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608904</xdr:colOff>
      <xdr:row>6</xdr:row>
      <xdr:rowOff>17397</xdr:rowOff>
    </xdr:from>
    <xdr:to>
      <xdr:col>2</xdr:col>
      <xdr:colOff>835068</xdr:colOff>
      <xdr:row>7</xdr:row>
      <xdr:rowOff>191369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79F63E6A-EDE7-1448-B883-99B8011E366D}"/>
            </a:ext>
          </a:extLst>
        </xdr:cNvPr>
        <xdr:cNvSpPr/>
      </xdr:nvSpPr>
      <xdr:spPr>
        <a:xfrm>
          <a:off x="3326704" y="2074797"/>
          <a:ext cx="226164" cy="516872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B7B8-C7EF-E84E-8857-1DEC30AF66BF}">
  <dimension ref="A1:Y39"/>
  <sheetViews>
    <sheetView tabSelected="1" topLeftCell="G3" zoomScale="90" zoomScaleNormal="90" workbookViewId="0">
      <selection activeCell="R25" sqref="R25"/>
    </sheetView>
  </sheetViews>
  <sheetFormatPr baseColWidth="10" defaultColWidth="17.83203125" defaultRowHeight="27" customHeight="1" x14ac:dyDescent="0.2"/>
  <cols>
    <col min="1" max="2" width="17.83203125" style="1"/>
    <col min="3" max="3" width="17.83203125" style="2"/>
    <col min="4" max="4" width="22.5" style="3" customWidth="1"/>
    <col min="5" max="5" width="17.83203125" style="3"/>
    <col min="6" max="6" width="17.83203125" style="4"/>
    <col min="7" max="7" width="18.1640625" style="3" customWidth="1"/>
    <col min="8" max="9" width="10.1640625" style="3" customWidth="1"/>
    <col min="10" max="11" width="17.83203125" style="3"/>
    <col min="12" max="13" width="10.1640625" style="3" customWidth="1"/>
    <col min="14" max="15" width="17.83203125" style="3"/>
    <col min="16" max="17" width="10.1640625" style="3" customWidth="1"/>
    <col min="18" max="19" width="17.83203125" style="3"/>
    <col min="20" max="21" width="10.1640625" style="3" customWidth="1"/>
    <col min="22" max="16384" width="17.83203125" style="3"/>
  </cols>
  <sheetData>
    <row r="1" spans="1:25" ht="27" customHeight="1" x14ac:dyDescent="0.2">
      <c r="A1" s="39" t="s">
        <v>36</v>
      </c>
      <c r="B1" s="39"/>
      <c r="C1" s="39"/>
    </row>
    <row r="2" spans="1:25" ht="27" customHeight="1" x14ac:dyDescent="0.2">
      <c r="A2" s="39"/>
      <c r="B2" s="39"/>
      <c r="C2" s="39"/>
      <c r="R2" s="19" t="s">
        <v>39</v>
      </c>
      <c r="S2" s="19"/>
    </row>
    <row r="3" spans="1:25" ht="27" customHeight="1" thickBot="1" x14ac:dyDescent="0.25">
      <c r="A3" s="33"/>
      <c r="B3" s="33"/>
      <c r="F3" s="3"/>
      <c r="I3" s="4"/>
      <c r="J3" s="15">
        <f>DATE(2025, 3, 3)</f>
        <v>45719</v>
      </c>
      <c r="K3" s="15">
        <f>J3+6</f>
        <v>45725</v>
      </c>
      <c r="N3" s="15">
        <f>J3+7</f>
        <v>45726</v>
      </c>
      <c r="O3" s="15">
        <f>K3+7</f>
        <v>45732</v>
      </c>
      <c r="R3" s="15">
        <f>N3+7</f>
        <v>45733</v>
      </c>
      <c r="S3" s="15">
        <f>O3+7</f>
        <v>45739</v>
      </c>
      <c r="V3" s="15">
        <f>R3+7</f>
        <v>45740</v>
      </c>
      <c r="W3" s="15">
        <f>S3+7</f>
        <v>45746</v>
      </c>
    </row>
    <row r="4" spans="1:25" ht="27" customHeight="1" thickBot="1" x14ac:dyDescent="0.25">
      <c r="F4" s="3"/>
      <c r="J4" s="37" t="s">
        <v>5</v>
      </c>
      <c r="K4" s="38"/>
      <c r="N4" s="37" t="s">
        <v>6</v>
      </c>
      <c r="O4" s="38"/>
      <c r="R4" s="37" t="s">
        <v>7</v>
      </c>
      <c r="S4" s="38"/>
      <c r="V4" s="37" t="s">
        <v>8</v>
      </c>
      <c r="W4" s="38"/>
    </row>
    <row r="5" spans="1:25" ht="27" customHeight="1" thickBot="1" x14ac:dyDescent="0.25">
      <c r="E5" s="28" t="s">
        <v>0</v>
      </c>
      <c r="F5" s="35"/>
      <c r="G5" s="36"/>
      <c r="H5" s="31" t="s">
        <v>16</v>
      </c>
      <c r="I5" s="32"/>
      <c r="J5" s="7" t="s">
        <v>3</v>
      </c>
      <c r="K5" s="7" t="s">
        <v>4</v>
      </c>
      <c r="L5" s="31" t="s">
        <v>16</v>
      </c>
      <c r="M5" s="32"/>
      <c r="N5" s="7" t="s">
        <v>3</v>
      </c>
      <c r="O5" s="7" t="s">
        <v>4</v>
      </c>
      <c r="P5" s="31" t="s">
        <v>16</v>
      </c>
      <c r="Q5" s="32"/>
      <c r="R5" s="7" t="s">
        <v>3</v>
      </c>
      <c r="S5" s="7" t="s">
        <v>4</v>
      </c>
      <c r="T5" s="31" t="s">
        <v>16</v>
      </c>
      <c r="U5" s="32"/>
      <c r="V5" s="7" t="s">
        <v>3</v>
      </c>
      <c r="W5" s="7" t="s">
        <v>4</v>
      </c>
      <c r="X5" s="7" t="s">
        <v>17</v>
      </c>
      <c r="Y5" s="7" t="s">
        <v>3</v>
      </c>
    </row>
    <row r="6" spans="1:25" ht="27" customHeight="1" x14ac:dyDescent="0.2">
      <c r="A6" s="33" t="s">
        <v>15</v>
      </c>
      <c r="B6" s="33"/>
      <c r="C6" s="33"/>
      <c r="E6" s="23" t="s">
        <v>42</v>
      </c>
      <c r="F6" s="24"/>
      <c r="G6" s="24"/>
      <c r="H6" s="23" t="s">
        <v>18</v>
      </c>
      <c r="I6" s="25"/>
      <c r="J6" s="3" t="str">
        <f>IF(H$6="Fatigué", "3x2", IF(H$6="Normal", "4x2", IF(H$6="En Forme", "4x2", "0")))</f>
        <v>4x2</v>
      </c>
      <c r="K6" s="3">
        <f>IF(H$6="Fatigué", $C$9*0.77, IF(H$6="Normal", $C$9*0.82, IF(H$6="En Forme", $C$9*0.85, "0")))</f>
        <v>102.5</v>
      </c>
      <c r="L6" s="23" t="s">
        <v>18</v>
      </c>
      <c r="M6" s="25"/>
      <c r="N6" s="3" t="str">
        <f>IF(L$6="Fatigué", "3x2", IF(L$6="Normal", "4x2", IF(L$6="En Forme", "4x2", "0")))</f>
        <v>4x2</v>
      </c>
      <c r="O6" s="3">
        <f>IF(L$6="Fatigué", $C$9*0.79, IF(L$6="Normal", $C$9*0.84, IF(L$6="En Forme", $C$9*0.87, "0")))</f>
        <v>105</v>
      </c>
      <c r="P6" s="23" t="s">
        <v>18</v>
      </c>
      <c r="Q6" s="25"/>
      <c r="R6" s="3" t="str">
        <f>IF(P$6="Fatigué", "2x2", IF(P$6="Normal", "3x2", IF(P$6="En Forme", "3x2", "0")))</f>
        <v>3x2</v>
      </c>
      <c r="S6" s="3">
        <f>IF(P$6="Fatigué", $C$9*0.7, IF(P$6="Normal", $C$9*0.75, IF(P$6="En Forme", $C$9*0.78, "0")))</f>
        <v>93.75</v>
      </c>
      <c r="T6" s="23" t="s">
        <v>18</v>
      </c>
      <c r="U6" s="25"/>
      <c r="V6" s="3" t="str">
        <f>IF(T$6="Fatigué", "3x2", IF(T$6="Normal", "4x2", IF(T$6="En Forme", "4x2", "0")))</f>
        <v>4x2</v>
      </c>
      <c r="W6" s="3">
        <f>IF(T$6="Fatigué", $C$9*0.82, IF(T$6="Normal", $C$9*0.87, IF(T$6="En Forme", $C$9*0.9, "0")))</f>
        <v>108.75</v>
      </c>
      <c r="X6" s="3" t="s">
        <v>32</v>
      </c>
      <c r="Y6" s="3" t="s">
        <v>20</v>
      </c>
    </row>
    <row r="7" spans="1:25" ht="27" customHeight="1" thickBot="1" x14ac:dyDescent="0.25">
      <c r="A7" s="33"/>
      <c r="B7" s="33"/>
      <c r="C7" s="33"/>
      <c r="E7" s="22" t="s">
        <v>41</v>
      </c>
      <c r="F7" s="19"/>
      <c r="G7" s="19"/>
      <c r="H7" s="26"/>
      <c r="I7" s="27"/>
      <c r="J7" s="3" t="str">
        <f>IF(H$6="Fatigué", "2x2", IF(H$6="Normal", "3x3", IF(H$6="En Forme", "4x3", "0")))</f>
        <v>3x3</v>
      </c>
      <c r="K7" s="3">
        <f>IF(H$6="Fatigué", $C$9*0.9, IF(H$6="Normal", $C$9*0.95, IF(H$6="En Forme", $C$9*1, "0")))</f>
        <v>118.75</v>
      </c>
      <c r="L7" s="26"/>
      <c r="M7" s="27"/>
      <c r="N7" s="3" t="str">
        <f>IF(L$6="Fatigué", "2x2", IF(L$6="Normal", "3x3", IF(L$6="En Forme", "4x3", "0")))</f>
        <v>3x3</v>
      </c>
      <c r="O7" s="3">
        <f>IF(L$6="Fatigué", $C$9*0.92, IF(L$6="Normal", $C$9*0.98, IF(L$6="En Forme", $C$9*1.03, "0")))</f>
        <v>122.5</v>
      </c>
      <c r="P7" s="26"/>
      <c r="Q7" s="27"/>
      <c r="R7" s="3" t="str">
        <f>IF(P$6="Fatigué", "1x2", IF(P$6="Normal", "2x3", IF(P$6="En Forme", "2x3", "0")))</f>
        <v>2x3</v>
      </c>
      <c r="S7" s="3">
        <f>IF(P$6="Fatigué", $C$9*0.83, IF(P$6="Normal", $C$9*0.88, IF(P$6="En Forme", $C$9*0.93, "0")))</f>
        <v>110</v>
      </c>
      <c r="T7" s="26"/>
      <c r="U7" s="27"/>
      <c r="V7" s="3" t="str">
        <f>IF(T$6="Fatigué", "2x2", IF(T$6="Normal", "3x3", IF(T$6="En Forme", "4x3", "0")))</f>
        <v>3x3</v>
      </c>
      <c r="W7" s="3">
        <f>IF(T$6="Fatigué", $C$9*0.97, IF(T$6="Normal", $C$9*1.03, IF(T$6="En Forme", $C$9*1.08, "0")))</f>
        <v>128.75</v>
      </c>
      <c r="X7" s="3" t="s">
        <v>33</v>
      </c>
      <c r="Y7" s="3" t="s">
        <v>27</v>
      </c>
    </row>
    <row r="8" spans="1:25" ht="27" customHeight="1" thickBot="1" x14ac:dyDescent="0.25">
      <c r="E8" s="22" t="s">
        <v>43</v>
      </c>
      <c r="F8" s="19"/>
      <c r="G8" s="19"/>
      <c r="J8" s="3" t="str">
        <f>IF(H$6="Fatigué", "3x[2+1]", IF(H$6="Normal", "4x[2+1]", IF(H$6="En Forme", "5x[2+1]", "0")))</f>
        <v>4x[2+1]</v>
      </c>
      <c r="K8" s="3">
        <f>IF(H$6="Fatigué", $C$11*0.72, IF(H$6="Normal", $C$11*0.77, IF(H$6="En Forme", $C$11*0.8, "0")))</f>
        <v>119.35000000000001</v>
      </c>
      <c r="N8" s="3" t="str">
        <f>IF(L$6="Fatigué", "3x[2+1]", IF(L$6="Normal", "4x[2+1]", IF(L$6="En Forme", "5x[2+1]", "0")))</f>
        <v>4x[2+1]</v>
      </c>
      <c r="O8" s="3">
        <f>IF(L$6="Fatigué", $C$11*0.74, IF(L$6="Normal", $C$11*0.79, IF(L$6="En Forme", $C$11*0.82, "0")))</f>
        <v>122.45</v>
      </c>
      <c r="R8" s="3" t="str">
        <f>IF(P$6="Fatigué", "2x[2+1]", IF(P$6="Normal", "3x[2+1]", IF(P$6="En Forme", "3x[2+1]", "0")))</f>
        <v>3x[2+1]</v>
      </c>
      <c r="S8" s="3">
        <f>IF(P$6="Fatigué", $C$11*0.65, IF(P$6="Normal", $C$11*0.7, IF(P$6="En Forme", $C$11*0.73, "0")))</f>
        <v>108.5</v>
      </c>
      <c r="V8" s="3" t="str">
        <f>IF(T$6="Fatigué", "3x[2+1]", IF(T$6="Normal", "4x[2+1]", IF(T$6="En Forme", "5x[2+1]", "0")))</f>
        <v>4x[2+1]</v>
      </c>
      <c r="W8" s="3">
        <f>IF(T$6="Fatigué", $C$11*0.77, IF(T$6="Normal", $C$11*0.82, IF(T$6="En Forme", $C$11*0.85, "0")))</f>
        <v>127.1</v>
      </c>
      <c r="X8" s="3" t="s">
        <v>34</v>
      </c>
      <c r="Y8" s="3" t="s">
        <v>29</v>
      </c>
    </row>
    <row r="9" spans="1:25" ht="27" customHeight="1" thickBot="1" x14ac:dyDescent="0.25">
      <c r="A9" s="10" t="s">
        <v>9</v>
      </c>
      <c r="B9" s="11"/>
      <c r="C9" s="5">
        <v>125</v>
      </c>
      <c r="D9" s="6"/>
      <c r="E9" s="22" t="s">
        <v>13</v>
      </c>
      <c r="F9" s="19"/>
      <c r="G9" s="19"/>
      <c r="J9" s="3" t="str">
        <f>IF(H$6="Fatigué", "3x5", IF(H$6="Normal", "5x5", IF(H$6="En Forme", "5x5", "0")))</f>
        <v>5x5</v>
      </c>
      <c r="K9" s="3">
        <f>IF(H$6="Fatigué", $C$17*0.72, IF(H$6="Normal", $C$17*0.77, IF(H$6="En Forme", $C$17*0.8, "0")))</f>
        <v>161.70000000000002</v>
      </c>
      <c r="N9" s="3" t="str">
        <f>IF(L$6="Fatigué", "3x5", IF(L$6="Normal", "5x5", IF(L$6="En Forme", "5x5", "0")))</f>
        <v>5x5</v>
      </c>
      <c r="O9" s="3">
        <f>IF(L$6="Fatigué", $C$17*0.74, IF(L$6="Normal", $C$17*0.79, IF(L$6="En Forme", $C$17*0.82, "0")))</f>
        <v>165.9</v>
      </c>
      <c r="R9" s="3" t="str">
        <f>IF(P$6="Fatigué", "2x5", IF(P$6="Normal", "3x5", IF(P$6="En Forme", "3x5", "0")))</f>
        <v>3x5</v>
      </c>
      <c r="S9" s="3">
        <f>IF(P$6="Fatigué", $C$17*0.65, IF(P$6="Normal", $C$17*0.7, IF(P$6="En Forme", $C$17*0.73, "0")))</f>
        <v>147</v>
      </c>
      <c r="V9" s="3" t="str">
        <f>IF(T$6="Fatigué", "3x5", IF(T$6="Normal", "5x5", IF(T$6="En Forme", "5x5", "0")))</f>
        <v>5x5</v>
      </c>
      <c r="W9" s="3">
        <f>IF(T$6="Fatigué", $C$17*0.77, IF(T$6="Normal", $C$17*0.82, IF(T$6="En Forme", $C$17*0.85, "0")))</f>
        <v>172.2</v>
      </c>
      <c r="X9" s="3" t="s">
        <v>35</v>
      </c>
      <c r="Y9" s="3" t="s">
        <v>20</v>
      </c>
    </row>
    <row r="10" spans="1:25" ht="27" customHeight="1" thickBot="1" x14ac:dyDescent="0.25">
      <c r="E10" s="22"/>
      <c r="F10" s="19"/>
      <c r="G10" s="19"/>
    </row>
    <row r="11" spans="1:25" ht="27" customHeight="1" thickBot="1" x14ac:dyDescent="0.25">
      <c r="A11" s="10" t="s">
        <v>10</v>
      </c>
      <c r="B11" s="11"/>
      <c r="C11" s="2">
        <v>155</v>
      </c>
      <c r="D11" s="12"/>
      <c r="E11" s="34"/>
      <c r="F11" s="34"/>
      <c r="G11" s="34"/>
      <c r="K11" s="4"/>
    </row>
    <row r="12" spans="1:25" ht="27" customHeight="1" thickBot="1" x14ac:dyDescent="0.25">
      <c r="C12" s="8"/>
      <c r="E12" s="28" t="s">
        <v>1</v>
      </c>
      <c r="F12" s="35"/>
      <c r="G12" s="36"/>
      <c r="H12" s="31" t="s">
        <v>16</v>
      </c>
      <c r="I12" s="32"/>
      <c r="J12" s="7" t="s">
        <v>3</v>
      </c>
      <c r="K12" s="7" t="s">
        <v>4</v>
      </c>
      <c r="L12" s="31" t="s">
        <v>16</v>
      </c>
      <c r="M12" s="32"/>
      <c r="N12" s="7" t="s">
        <v>3</v>
      </c>
      <c r="O12" s="7" t="s">
        <v>4</v>
      </c>
      <c r="P12" s="31" t="s">
        <v>16</v>
      </c>
      <c r="Q12" s="32"/>
      <c r="R12" s="7" t="s">
        <v>3</v>
      </c>
      <c r="S12" s="7" t="s">
        <v>4</v>
      </c>
      <c r="T12" s="31" t="s">
        <v>16</v>
      </c>
      <c r="U12" s="32"/>
      <c r="V12" s="7" t="s">
        <v>3</v>
      </c>
      <c r="W12" s="7" t="s">
        <v>4</v>
      </c>
      <c r="X12" s="7" t="s">
        <v>17</v>
      </c>
      <c r="Y12" s="7" t="s">
        <v>3</v>
      </c>
    </row>
    <row r="13" spans="1:25" ht="27" customHeight="1" thickBot="1" x14ac:dyDescent="0.25">
      <c r="A13" s="10" t="s">
        <v>11</v>
      </c>
      <c r="B13" s="11"/>
      <c r="C13" s="9">
        <v>160</v>
      </c>
      <c r="E13" s="22" t="s">
        <v>48</v>
      </c>
      <c r="F13" s="19"/>
      <c r="G13" s="19"/>
      <c r="H13" s="23" t="s">
        <v>18</v>
      </c>
      <c r="I13" s="25"/>
      <c r="J13" s="3" t="str">
        <f>IF(H$13="Fatigué", "3x1", IF(H$13="Normal", "4x1", IF(H$13="En Forme", "4x1", "0")))</f>
        <v>4x1</v>
      </c>
      <c r="K13" s="3">
        <f>IF(H$13="Fatigué", $C$11*0.75, IF(H$13="Normal", $C$11*0.8, IF(H$13="En Forme", $C$11*0.84, "0")))</f>
        <v>124</v>
      </c>
      <c r="L13" s="23" t="s">
        <v>18</v>
      </c>
      <c r="M13" s="25"/>
      <c r="N13" s="3" t="str">
        <f>IF(L$13="Fatigué", "3x1", IF(L$13="Normal", "4x1", IF(L$13="En Forme", "4x1", "0")))</f>
        <v>4x1</v>
      </c>
      <c r="O13" s="3">
        <f>IF(L$13="Fatigué", $C$11*0.77, IF(L$13="Normal", $C$11*0.82, IF(L$13="En Forme", $C$11*0.86, "0")))</f>
        <v>127.1</v>
      </c>
      <c r="P13" s="23" t="s">
        <v>18</v>
      </c>
      <c r="Q13" s="25"/>
      <c r="R13" s="3" t="str">
        <f>IF(P$13="Fatigué", "2x1", IF(P$13="Normal", "3x1", IF(P$13="En Forme", "3x1", "0")))</f>
        <v>3x1</v>
      </c>
      <c r="S13" s="3">
        <f>IF(P$13="Fatigué", $C$11*0.68, IF(P$13="Normal", $C$11*0.73, IF(P$13="En Forme", $C$11*0.77, "0")))</f>
        <v>113.14999999999999</v>
      </c>
      <c r="T13" s="23" t="s">
        <v>18</v>
      </c>
      <c r="U13" s="25"/>
      <c r="V13" s="3" t="str">
        <f>IF(T$13="Fatigué", "3x1", IF(T$13="Normal", "4x1", IF(T$13="En Forme", "4x1", "0")))</f>
        <v>4x1</v>
      </c>
      <c r="W13" s="3">
        <f>IF(T$13="Fatigué", $C$11*0.8, IF(T$13="Normal", $C$11*0.85, IF(T$13="En Forme", $C$11*0.89, "0")))</f>
        <v>131.75</v>
      </c>
      <c r="X13" s="3" t="s">
        <v>24</v>
      </c>
      <c r="Y13" s="3" t="s">
        <v>20</v>
      </c>
    </row>
    <row r="14" spans="1:25" ht="27" customHeight="1" thickBot="1" x14ac:dyDescent="0.25">
      <c r="C14" s="8"/>
      <c r="E14" s="22" t="s">
        <v>44</v>
      </c>
      <c r="F14" s="19"/>
      <c r="G14" s="19"/>
      <c r="H14" s="26"/>
      <c r="I14" s="27"/>
      <c r="J14" s="3" t="str">
        <f>IF(H$13="Fatigué", "3x2", IF(H$13="Normal", "4x2", IF(H$13="En Forme", "4x2", "0")))</f>
        <v>4x2</v>
      </c>
      <c r="K14" s="3">
        <f>IF(H$13="Fatigué", $C$9*0.7, IF(H$13="Normal", $C$9*0.75, IF(H$13="En Forme", $C$9*0.78, "0")))</f>
        <v>93.75</v>
      </c>
      <c r="L14" s="26"/>
      <c r="M14" s="27"/>
      <c r="N14" s="3" t="str">
        <f>IF(L$13="Fatigué", "3x2", IF(L$13="Normal", "4x2", IF(L$13="En Forme", "4x2", "0")))</f>
        <v>4x2</v>
      </c>
      <c r="O14" s="3">
        <f>IF(L$13="Fatigué", $C$9*0.73, IF(L$13="Normal", $C$9*0.78, IF(L$13="En Forme", $C$9*0.81, "0")))</f>
        <v>97.5</v>
      </c>
      <c r="P14" s="26"/>
      <c r="Q14" s="27"/>
      <c r="R14" s="3" t="str">
        <f>IF(P$13="Fatigué", "2x2", IF(P$13="Normal", "3x2", IF(P$13="En Forme", "3x2", "0")))</f>
        <v>3x2</v>
      </c>
      <c r="S14" s="3">
        <f>IF(P$13="Fatigué", $C$9*0.63, IF(P$13="Normal", $C$9*0.68, IF(P$13="En Forme", $C$9*0.71, "0")))</f>
        <v>85</v>
      </c>
      <c r="T14" s="26"/>
      <c r="U14" s="27"/>
      <c r="V14" s="3" t="str">
        <f>IF(T$13="Fatigué", "3x2", IF(T$13="Normal", "4x2", IF(T$13="En Forme", "4x2", "0")))</f>
        <v>4x2</v>
      </c>
      <c r="W14" s="3">
        <f>IF(T$13="Fatigué", $C$9*0.75, IF(T$13="Normal", $C$9*0.8, IF(T$13="En Forme", $C$9*0.83, "0")))</f>
        <v>100</v>
      </c>
      <c r="X14" s="3" t="s">
        <v>25</v>
      </c>
      <c r="Y14" s="3" t="s">
        <v>27</v>
      </c>
    </row>
    <row r="15" spans="1:25" ht="27" customHeight="1" thickBot="1" x14ac:dyDescent="0.25">
      <c r="A15" s="10" t="s">
        <v>12</v>
      </c>
      <c r="B15" s="11"/>
      <c r="C15" s="9">
        <v>170</v>
      </c>
      <c r="E15" s="22" t="s">
        <v>45</v>
      </c>
      <c r="F15" s="19"/>
      <c r="G15" s="19"/>
      <c r="J15" s="3" t="str">
        <f>IF(H$13="Fatigué", "2x[1+2+1]", IF(H$13="Normal", "3x[1+2+1]", IF(H$13="En Forme", "4x[1+2+1]", "0")))</f>
        <v>3x[1+2+1]</v>
      </c>
      <c r="K15" s="3">
        <f>IF(H$13="Fatigué", $C$9*0.8, IF(H$13="Normal", $C$9*0.85, IF(H$13="En Forme", $C$9*0.9, "0")))</f>
        <v>106.25</v>
      </c>
      <c r="N15" s="3" t="str">
        <f>IF(L$13="Fatigué", "2x[1+2+1]", IF(L$13="Normal", "3x[1+2+1]", IF(L$13="En Forme", "4x[1+2+1]", "0")))</f>
        <v>3x[1+2+1]</v>
      </c>
      <c r="O15" s="3">
        <f>IF(L$13="Fatigué", $C$9*0.82, IF(L$13="Normal", $C$9*0.87, IF(L$13="En Forme", $C$9*0.92, "0")))</f>
        <v>108.75</v>
      </c>
      <c r="R15" s="3" t="str">
        <f>IF(P$13="Fatigué", "1x[1+2+1]", IF(P$13="Normal", "2x[1+2+1]", IF(P$13="En Forme", "2x[1+2+1]", "0")))</f>
        <v>2x[1+2+1]</v>
      </c>
      <c r="S15" s="3">
        <f>IF(P$13="Fatigué", $C$9*0.73, IF(P$13="Normal", $C$9*0.78, IF(P$13="En Forme", $C$9*0.83, "0")))</f>
        <v>97.5</v>
      </c>
      <c r="V15" s="3" t="str">
        <f>IF(T$13="Fatigué", "2x[1+2+1]", IF(T$13="Normal", "3x[1+2+1]", IF(T$13="En Forme", "4x[1+2+1]", "0")))</f>
        <v>3x[1+2+1]</v>
      </c>
      <c r="W15" s="3">
        <f>IF(T$13="Fatigué", $C$9*0.85, IF(T$13="Normal", $C$9*0.9, IF(T$13="En Forme", $C$9*0.95, "0")))</f>
        <v>112.5</v>
      </c>
      <c r="X15" s="3" t="s">
        <v>26</v>
      </c>
      <c r="Y15" s="3" t="s">
        <v>20</v>
      </c>
    </row>
    <row r="16" spans="1:25" ht="27" customHeight="1" thickBot="1" x14ac:dyDescent="0.25">
      <c r="C16" s="8"/>
      <c r="E16" s="22" t="s">
        <v>14</v>
      </c>
      <c r="F16" s="19"/>
      <c r="G16" s="19"/>
      <c r="J16" s="3" t="str">
        <f>IF(H$13="Fatigué", "3x4", IF(H$13="Normal", "4x4", IF(H$13="En Forme", "5x4", "0")))</f>
        <v>4x4</v>
      </c>
      <c r="K16" s="3">
        <f>IF(H$13="Fatigué", $C$19*0.75, IF(H$13="Normal", $C$19*0.8, IF(H$13="En Forme", $C$19*0.83, "0")))</f>
        <v>144</v>
      </c>
      <c r="N16" s="3" t="str">
        <f>IF(L$13="Fatigué", "3x4", IF(L$13="Normal", "4x4", IF(L$13="En Forme", "5x4", "0")))</f>
        <v>4x4</v>
      </c>
      <c r="O16" s="3">
        <f>IF(L$13="Fatigué", $C$19*0.77, IF(L$13="Normal", $C$19*0.82, IF(L$13="En Forme", $C$19*0.85, "0")))</f>
        <v>147.6</v>
      </c>
      <c r="R16" s="3" t="str">
        <f>IF(P$13="Fatigué", "2x4", IF(P$13="Normal", "3x4", IF(P$13="En Forme", "3x4", "0")))</f>
        <v>3x4</v>
      </c>
      <c r="S16" s="3">
        <f>IF(P$13="Fatigué", $C$19*0.68, IF(P$13="Normal", $C$19*0.73, IF(P$13="En Forme", $C$19*0.76, "0")))</f>
        <v>131.4</v>
      </c>
      <c r="V16" s="3" t="str">
        <f>IF(T$13="Fatigué", "3x4", IF(T$13="Normal", "4x4", IF(T$13="En Forme", "5x4", "0")))</f>
        <v>4x4</v>
      </c>
      <c r="W16" s="3">
        <f>IF(T$13="Fatigué", $C$19*0.8, IF(T$13="Normal", $C$19*0.85, IF(T$13="En Forme", $C$19*0.88, "0")))</f>
        <v>153</v>
      </c>
      <c r="X16" s="3" t="s">
        <v>28</v>
      </c>
      <c r="Y16" s="3" t="s">
        <v>29</v>
      </c>
    </row>
    <row r="17" spans="1:25" ht="27" customHeight="1" thickBot="1" x14ac:dyDescent="0.25">
      <c r="A17" s="10" t="s">
        <v>13</v>
      </c>
      <c r="B17" s="11"/>
      <c r="C17" s="2">
        <v>210</v>
      </c>
      <c r="D17" s="6"/>
      <c r="E17" s="22"/>
      <c r="F17" s="19"/>
      <c r="G17" s="19"/>
      <c r="X17" s="3" t="s">
        <v>30</v>
      </c>
      <c r="Y17" s="3" t="s">
        <v>31</v>
      </c>
    </row>
    <row r="18" spans="1:25" ht="27" customHeight="1" thickBot="1" x14ac:dyDescent="0.25">
      <c r="C18" s="8"/>
      <c r="E18" s="22"/>
      <c r="F18" s="19"/>
      <c r="G18" s="19"/>
    </row>
    <row r="19" spans="1:25" ht="27" customHeight="1" thickBot="1" x14ac:dyDescent="0.25">
      <c r="A19" s="10" t="s">
        <v>14</v>
      </c>
      <c r="B19" s="11"/>
      <c r="C19" s="5">
        <v>180</v>
      </c>
      <c r="D19" s="6"/>
      <c r="E19" s="28" t="s">
        <v>2</v>
      </c>
      <c r="F19" s="29"/>
      <c r="G19" s="30"/>
      <c r="H19" s="31" t="s">
        <v>16</v>
      </c>
      <c r="I19" s="32"/>
      <c r="J19" s="7" t="s">
        <v>3</v>
      </c>
      <c r="K19" s="7" t="s">
        <v>4</v>
      </c>
      <c r="L19" s="31" t="s">
        <v>16</v>
      </c>
      <c r="M19" s="32"/>
      <c r="N19" s="7" t="s">
        <v>3</v>
      </c>
      <c r="O19" s="7" t="s">
        <v>4</v>
      </c>
      <c r="P19" s="31" t="s">
        <v>16</v>
      </c>
      <c r="Q19" s="32"/>
      <c r="R19" s="7" t="s">
        <v>3</v>
      </c>
      <c r="S19" s="7" t="s">
        <v>4</v>
      </c>
      <c r="T19" s="31" t="s">
        <v>16</v>
      </c>
      <c r="U19" s="32"/>
      <c r="V19" s="7" t="s">
        <v>3</v>
      </c>
      <c r="W19" s="7" t="s">
        <v>4</v>
      </c>
      <c r="X19" s="7" t="s">
        <v>17</v>
      </c>
      <c r="Y19" s="7" t="s">
        <v>3</v>
      </c>
    </row>
    <row r="20" spans="1:25" ht="27" customHeight="1" thickBot="1" x14ac:dyDescent="0.25">
      <c r="E20" s="23" t="s">
        <v>46</v>
      </c>
      <c r="F20" s="24"/>
      <c r="G20" s="24"/>
      <c r="H20" s="23" t="s">
        <v>18</v>
      </c>
      <c r="I20" s="25"/>
      <c r="J20" s="3" t="str">
        <f>IF(H$20="Fatigué", "2x5", IF(H$20="Normal", "2x5", IF(H$20="En Forme", "3x5", "0")))</f>
        <v>2x5</v>
      </c>
      <c r="K20" s="3">
        <f>IF(H$20="Fatigué", $C$9*0.4, IF(H$20="Normal", $C$9*0.45, IF(H$20="En Forme", $C$9*0.48, "0")))</f>
        <v>56.25</v>
      </c>
      <c r="L20" s="23" t="s">
        <v>18</v>
      </c>
      <c r="M20" s="25"/>
      <c r="N20" s="3" t="str">
        <f>IF(L$20="Fatigué", "2x5", IF(L$20="Normal", "2x5", IF(L$20="En Forme", "3x5", "0")))</f>
        <v>2x5</v>
      </c>
      <c r="O20" s="3">
        <f>IF(L$20="Fatigué", $C$9*0.42, IF(L$20="Normal", $C$9*0.47, IF(L$20="En Forme", $C$9*0.5, "0")))</f>
        <v>58.75</v>
      </c>
      <c r="P20" s="23" t="s">
        <v>18</v>
      </c>
      <c r="Q20" s="25"/>
      <c r="R20" s="3" t="str">
        <f>IF(P$20="Fatigué", "1x5", IF(P$20="Normal", "1x5", IF(P$20="En Forme", "2x5", "0")))</f>
        <v>1x5</v>
      </c>
      <c r="S20" s="3">
        <f>IF(P$20="Fatigué", $C$9*0.35, IF(P$20="Normal", $C$9*0.4, IF(P$20="En Forme", $C$9*0.43, "0")))</f>
        <v>50</v>
      </c>
      <c r="T20" s="23" t="s">
        <v>18</v>
      </c>
      <c r="U20" s="25"/>
      <c r="V20" s="3" t="str">
        <f>IF(T$20="Fatigué", "2x5", IF(T$20="Normal", "2x5", IF(T$20="En Forme", "3x5", "0")))</f>
        <v>2x5</v>
      </c>
      <c r="W20" s="3">
        <f>IF(T$20="Fatigué", $C$9*0.45, IF(T$20="Normal", $C$9*0.5, IF(T$20="En Forme", $C$9*0.53, "0")))</f>
        <v>62.5</v>
      </c>
      <c r="X20" s="3" t="s">
        <v>19</v>
      </c>
      <c r="Y20" s="3" t="s">
        <v>20</v>
      </c>
    </row>
    <row r="21" spans="1:25" ht="27" customHeight="1" thickBot="1" x14ac:dyDescent="0.25">
      <c r="A21" s="17" t="s">
        <v>37</v>
      </c>
      <c r="B21" s="18"/>
      <c r="C21" s="16" t="s">
        <v>38</v>
      </c>
      <c r="D21" s="13"/>
      <c r="E21" s="22" t="s">
        <v>47</v>
      </c>
      <c r="F21" s="19"/>
      <c r="G21" s="19"/>
      <c r="H21" s="26"/>
      <c r="I21" s="27"/>
      <c r="J21" s="3" t="str">
        <f>IF(H$20="Fatigué", "2x[1+2]", IF(H$20="Normal", "3x[1+2]", IF(H$20="En Forme", "3x[1+2]", "0")))</f>
        <v>3x[1+2]</v>
      </c>
      <c r="K21" s="3">
        <f>IF(H$20="Fatigué", $C$9*0.72, IF(H$20="Normal", $C$9*0.77, IF(H$20="En Forme", $C$9*0.8, "0")))</f>
        <v>96.25</v>
      </c>
      <c r="L21" s="26"/>
      <c r="M21" s="27"/>
      <c r="N21" s="3" t="str">
        <f>IF(L$20="Fatigué", "2x[1+2]", IF(L$20="Normal", "3x[1+2]", IF(L$20="En Forme", "3x[1+2]", "0")))</f>
        <v>3x[1+2]</v>
      </c>
      <c r="O21" s="3">
        <f>IF(L$20="Fatigué", $C$9*0.74, IF(L$20="Normal", $C$9*0.79, IF(L$20="En Forme", $C$9*0.82, "0")))</f>
        <v>98.75</v>
      </c>
      <c r="P21" s="26"/>
      <c r="Q21" s="27"/>
      <c r="R21" s="3" t="str">
        <f>IF(P$20="Fatigué", "1x[1+2]", IF(P$20="Normal", "2x[1+2]", IF(P$20="En Forme", "2x[1+2]", "0")))</f>
        <v>2x[1+2]</v>
      </c>
      <c r="S21" s="3">
        <f>IF(P$20="Fatigué", $C$9*0.65, IF(P$20="Normal", $C$9*0.7, IF(P$20="En Forme", $C$9*0.73, "0")))</f>
        <v>87.5</v>
      </c>
      <c r="T21" s="26"/>
      <c r="U21" s="27"/>
      <c r="V21" s="3" t="str">
        <f>IF(T$20="Fatigué", "2x[1+2]", IF(T$20="Normal", "3x[1+2]", IF(T$20="En Forme", "3x[1+2]", "0")))</f>
        <v>3x[1+2]</v>
      </c>
      <c r="W21" s="3">
        <f>IF(T$20="Fatigué", $C$9*0.77, IF(T$20="Normal", $C$9*0.82, IF(T$20="En Forme", $C$9*0.85, "0")))</f>
        <v>102.5</v>
      </c>
      <c r="X21" s="3" t="s">
        <v>21</v>
      </c>
      <c r="Y21" s="3" t="s">
        <v>20</v>
      </c>
    </row>
    <row r="22" spans="1:25" ht="27" customHeight="1" x14ac:dyDescent="0.2">
      <c r="E22" s="22" t="s">
        <v>9</v>
      </c>
      <c r="F22" s="19"/>
      <c r="G22" s="19"/>
      <c r="J22" s="3" t="str">
        <f>IF(H$20="Fatigué", "2x2", IF(H$20="Normal", "2x2", IF(H$20="En Forme", "3x2", "0")))</f>
        <v>2x2</v>
      </c>
      <c r="K22" s="3">
        <f>IF(H$20="Fatigué", $C$9*0.82, IF(H$20="Normal", $C$9*0.87, IF(H$20="En Forme", $C$9*0.9, "0")))</f>
        <v>108.75</v>
      </c>
      <c r="N22" s="3" t="str">
        <f>IF(L$20="Fatigué", "2x2", IF(L$20="Normal", "2x2", IF(L$20="En Forme", "3x2", "0")))</f>
        <v>2x2</v>
      </c>
      <c r="O22" s="3">
        <f>IF(L$20="Fatigué", $C$9*0.84, IF(L$20="Normal", $C$9*0.89, IF(L$20="En Forme", $C$9*0.92, "0")))</f>
        <v>111.25</v>
      </c>
      <c r="R22" s="3" t="str">
        <f>IF(P$20="Fatigué", "1x2", IF(P$20="Normal", "1x2", IF(P$20="En Forme", "2x2", "0")))</f>
        <v>1x2</v>
      </c>
      <c r="S22" s="3">
        <f>IF(P$20="Fatigué", $C$9*0.75, IF(P$20="Normal", $C$9*0.8, IF(P$20="En Forme", $C$9*0.83, "0")))</f>
        <v>100</v>
      </c>
      <c r="V22" s="3" t="str">
        <f>IF(T$20="Fatigué", "2x2", IF(T$20="Normal", "2x2", IF(T$20="En Forme", "3x2", "0")))</f>
        <v>2x2</v>
      </c>
      <c r="W22" s="3">
        <f>IF(T$20="Fatigué", $C$9*0.87, IF(T$20="Normal", $C$9*0.92, IF(T$20="En Forme", $C$9*0.95, "0")))</f>
        <v>115</v>
      </c>
      <c r="X22" s="3" t="s">
        <v>22</v>
      </c>
      <c r="Y22" s="3" t="s">
        <v>23</v>
      </c>
    </row>
    <row r="23" spans="1:25" ht="27" customHeight="1" x14ac:dyDescent="0.2">
      <c r="D23" s="13"/>
      <c r="E23" s="22" t="s">
        <v>40</v>
      </c>
      <c r="F23" s="19"/>
      <c r="G23" s="19"/>
      <c r="J23" s="3" t="str">
        <f>IF(H$20="Fatigué", "3x[2+1]", IF(H$20="Normal", "4x[2+1]", IF(H$20="En Forme", "4x[2+1]", "0")))</f>
        <v>4x[2+1]</v>
      </c>
      <c r="K23" s="3">
        <f>IF(H$20="Fatigué", $C$11*0.8, IF(H$20="Normal", $C$11*0.85, IF(H$20="En Forme", $C$11*0.88, "0")))</f>
        <v>131.75</v>
      </c>
      <c r="N23" s="3" t="str">
        <f>IF(L$20="Fatigué", "3x[2+1]", IF(L$20="Normal", "4x[2+1]", IF(L$20="En Forme", "4x[2+1]", "0")))</f>
        <v>4x[2+1]</v>
      </c>
      <c r="O23" s="3">
        <f>IF(L$20="Fatigué", $C$11*0.82, IF(L$20="Normal", $C$11*0.87, IF(L$20="En Forme", $C$11*0.9, "0")))</f>
        <v>134.85</v>
      </c>
      <c r="R23" s="3" t="str">
        <f>IF(P$20="Fatigué", "2x[2+1]", IF(P$20="Normal", "3x[2+1]", IF(P$20="En Forme", "3x[2+1]", "0")))</f>
        <v>3x[2+1]</v>
      </c>
      <c r="S23" s="3">
        <f>IF(P$20="Fatigué", $C$11*0.73, IF(P$20="Normal", $C$11*0.78, IF(P$20="En Forme", $C$11*0.81, "0")))</f>
        <v>120.9</v>
      </c>
      <c r="V23" s="3" t="str">
        <f>IF(T$20="Fatigué", "3x[2+1]", IF(T$20="Normal", "4x[2+1]", IF(T$20="En Forme", "4x[2+1]", "0")))</f>
        <v>4x[2+1]</v>
      </c>
      <c r="W23" s="3">
        <f>IF(T$20="Fatigué", $C$11*0.85, IF(T$20="Normal", $C$11*0.9, IF(T$20="En Forme", $C$11*0.93, "0")))</f>
        <v>139.5</v>
      </c>
    </row>
    <row r="24" spans="1:25" ht="27" customHeight="1" x14ac:dyDescent="0.2">
      <c r="E24" s="22" t="s">
        <v>13</v>
      </c>
      <c r="F24" s="19"/>
      <c r="G24" s="19"/>
      <c r="J24" s="3" t="str">
        <f>IF(H$20="Fatigué", "2x8", IF(H$20="Normal", "3x8", IF(H$20="En Forme", "3x8", "0")))</f>
        <v>3x8</v>
      </c>
      <c r="K24" s="3">
        <f>IF(H$20="Fatigué", $C$17*0.65, IF(H$20="Normal", $C$17*0.7, IF(H$20="En Forme", $C$17*0.73, "0")))</f>
        <v>147</v>
      </c>
      <c r="N24" s="3" t="str">
        <f>IF(L$20="Fatigué", "2x8", IF(L$20="Normal", "3x8", IF(L$20="En Forme", "3x8", "0")))</f>
        <v>3x8</v>
      </c>
      <c r="O24" s="3">
        <f>IF(L$20="Fatigué", $C$17*0.67, IF(L$20="Normal", $C$17*0.72, IF(L$20="En Forme", $C$17*0.75, "0")))</f>
        <v>151.19999999999999</v>
      </c>
      <c r="R24" s="3" t="str">
        <f>IF(P$20="Fatigué", "1x8", IF(P$20="Normal", "2x8", IF(P$20="En Forme", "2x8", "0")))</f>
        <v>2x8</v>
      </c>
      <c r="S24" s="3">
        <f>IF(P$20="Fatigué", $C$17*0.58, IF(P$20="Normal", $C$17*0.63, IF(P$20="En Forme", $C$17*0.66, "0")))</f>
        <v>132.30000000000001</v>
      </c>
      <c r="V24" s="3" t="str">
        <f>IF(T$20="Fatigué", "2x8", IF(T$20="Normal", "3x8", IF(T$20="En Forme", "3x8", "0")))</f>
        <v>3x8</v>
      </c>
      <c r="W24" s="3">
        <f>IF(T$20="Fatigué", $C$17*0.7, IF(T$20="Normal", $C$17*0.75, IF(T$20="En Forme", $C$17*0.78, "0")))</f>
        <v>157.5</v>
      </c>
    </row>
    <row r="25" spans="1:25" ht="27" customHeight="1" x14ac:dyDescent="0.2">
      <c r="E25" s="19"/>
      <c r="F25" s="19"/>
      <c r="G25" s="19"/>
      <c r="K25" s="4"/>
    </row>
    <row r="26" spans="1:25" ht="27" customHeight="1" x14ac:dyDescent="0.2">
      <c r="E26" s="21"/>
      <c r="F26" s="21"/>
      <c r="G26" s="21"/>
      <c r="H26" s="20"/>
      <c r="I26" s="20"/>
      <c r="J26" s="1"/>
      <c r="K26" s="1"/>
      <c r="L26" s="20"/>
      <c r="M26" s="20"/>
      <c r="N26" s="1"/>
      <c r="O26" s="1"/>
      <c r="P26" s="20"/>
      <c r="Q26" s="20"/>
      <c r="R26" s="1"/>
      <c r="S26" s="1"/>
      <c r="T26" s="20"/>
      <c r="U26" s="20"/>
      <c r="V26" s="1"/>
      <c r="W26" s="1"/>
    </row>
    <row r="27" spans="1:25" ht="27" customHeight="1" x14ac:dyDescent="0.2">
      <c r="E27" s="19"/>
      <c r="F27" s="19"/>
      <c r="G27" s="19"/>
      <c r="K27" s="4"/>
      <c r="L27" s="19"/>
      <c r="M27" s="19"/>
      <c r="O27" s="4"/>
      <c r="P27" s="19"/>
      <c r="Q27" s="19"/>
      <c r="S27" s="4"/>
      <c r="T27" s="19"/>
      <c r="U27" s="19"/>
      <c r="W27" s="4"/>
    </row>
    <row r="28" spans="1:25" ht="27" customHeight="1" x14ac:dyDescent="0.2">
      <c r="E28" s="19"/>
      <c r="F28" s="19"/>
      <c r="G28" s="19"/>
      <c r="K28" s="4"/>
      <c r="L28" s="19"/>
      <c r="M28" s="19"/>
      <c r="O28" s="4"/>
      <c r="P28" s="19"/>
      <c r="Q28" s="19"/>
      <c r="S28" s="4"/>
      <c r="T28" s="19"/>
      <c r="U28" s="19"/>
      <c r="W28" s="4"/>
    </row>
    <row r="29" spans="1:25" ht="27" customHeight="1" x14ac:dyDescent="0.2">
      <c r="E29" s="19"/>
      <c r="F29" s="19"/>
      <c r="G29" s="19"/>
      <c r="K29" s="4"/>
      <c r="O29" s="4"/>
      <c r="S29" s="4"/>
      <c r="W29" s="4"/>
    </row>
    <row r="30" spans="1:25" ht="27" customHeight="1" x14ac:dyDescent="0.2">
      <c r="E30" s="19"/>
      <c r="F30" s="19"/>
      <c r="G30" s="19"/>
      <c r="K30" s="4"/>
      <c r="O30" s="4"/>
      <c r="S30" s="4"/>
      <c r="W30" s="4"/>
    </row>
    <row r="31" spans="1:25" ht="27" customHeight="1" x14ac:dyDescent="0.2">
      <c r="E31" s="19"/>
      <c r="F31" s="19"/>
      <c r="G31" s="19"/>
      <c r="K31" s="4"/>
    </row>
    <row r="32" spans="1:25" ht="27" customHeight="1" x14ac:dyDescent="0.2">
      <c r="E32" s="21"/>
      <c r="F32" s="21"/>
      <c r="G32" s="21"/>
      <c r="K32" s="4"/>
    </row>
    <row r="33" spans="5:23" ht="27" customHeight="1" x14ac:dyDescent="0.2">
      <c r="E33" s="19"/>
      <c r="F33" s="19"/>
      <c r="G33" s="19"/>
      <c r="K33" s="1"/>
      <c r="N33" s="1"/>
      <c r="O33" s="1"/>
      <c r="R33" s="1"/>
      <c r="S33" s="1"/>
      <c r="V33" s="1"/>
      <c r="W33" s="1"/>
    </row>
    <row r="34" spans="5:23" ht="27" customHeight="1" x14ac:dyDescent="0.2">
      <c r="E34" s="19"/>
      <c r="F34" s="19"/>
      <c r="G34" s="19"/>
      <c r="K34" s="1"/>
      <c r="L34" s="20"/>
      <c r="M34" s="20"/>
      <c r="N34" s="1"/>
      <c r="O34" s="1"/>
      <c r="P34" s="20"/>
      <c r="Q34" s="20"/>
      <c r="R34" s="1"/>
      <c r="S34" s="1"/>
      <c r="T34" s="20"/>
      <c r="U34" s="20"/>
      <c r="V34" s="1"/>
      <c r="W34" s="1"/>
    </row>
    <row r="35" spans="5:23" ht="27" customHeight="1" x14ac:dyDescent="0.2">
      <c r="E35" s="19"/>
      <c r="F35" s="19"/>
      <c r="G35" s="19"/>
      <c r="K35" s="4"/>
      <c r="L35" s="19"/>
      <c r="M35" s="19"/>
      <c r="O35" s="4"/>
      <c r="P35" s="19"/>
      <c r="Q35" s="19"/>
      <c r="T35" s="19"/>
      <c r="U35" s="19"/>
    </row>
    <row r="36" spans="5:23" ht="27" customHeight="1" x14ac:dyDescent="0.2">
      <c r="E36" s="19"/>
      <c r="F36" s="19"/>
      <c r="G36" s="19"/>
      <c r="H36" s="14"/>
      <c r="I36" s="14"/>
      <c r="K36" s="4"/>
      <c r="L36" s="19"/>
      <c r="M36" s="19"/>
      <c r="O36" s="4"/>
      <c r="P36" s="19"/>
      <c r="Q36" s="19"/>
      <c r="T36" s="19"/>
      <c r="U36" s="19"/>
    </row>
    <row r="37" spans="5:23" ht="27" customHeight="1" x14ac:dyDescent="0.2">
      <c r="E37" s="19"/>
      <c r="F37" s="19"/>
      <c r="G37" s="19"/>
      <c r="I37" s="4"/>
      <c r="K37" s="4"/>
      <c r="M37" s="4"/>
      <c r="O37" s="4"/>
    </row>
    <row r="38" spans="5:23" ht="27" customHeight="1" x14ac:dyDescent="0.2">
      <c r="E38" s="19"/>
      <c r="F38" s="19"/>
      <c r="G38" s="19"/>
      <c r="I38" s="4"/>
      <c r="K38" s="4"/>
      <c r="M38" s="4"/>
      <c r="O38" s="4"/>
    </row>
    <row r="39" spans="5:23" ht="27" customHeight="1" x14ac:dyDescent="0.2">
      <c r="E39" s="19"/>
      <c r="F39" s="19"/>
      <c r="G39" s="19"/>
      <c r="I39" s="4"/>
    </row>
  </sheetData>
  <mergeCells count="82">
    <mergeCell ref="V4:W4"/>
    <mergeCell ref="A1:C2"/>
    <mergeCell ref="A3:B3"/>
    <mergeCell ref="J4:K4"/>
    <mergeCell ref="N4:O4"/>
    <mergeCell ref="R4:S4"/>
    <mergeCell ref="E5:G5"/>
    <mergeCell ref="H5:I5"/>
    <mergeCell ref="L5:M5"/>
    <mergeCell ref="P5:Q5"/>
    <mergeCell ref="T5:U5"/>
    <mergeCell ref="T12:U12"/>
    <mergeCell ref="T6:U7"/>
    <mergeCell ref="A7:C7"/>
    <mergeCell ref="E7:G7"/>
    <mergeCell ref="E8:G8"/>
    <mergeCell ref="E9:G9"/>
    <mergeCell ref="E10:G10"/>
    <mergeCell ref="A6:C6"/>
    <mergeCell ref="E6:G6"/>
    <mergeCell ref="H6:I7"/>
    <mergeCell ref="L6:M7"/>
    <mergeCell ref="P6:Q7"/>
    <mergeCell ref="E11:G11"/>
    <mergeCell ref="E12:G12"/>
    <mergeCell ref="H12:I12"/>
    <mergeCell ref="L12:M12"/>
    <mergeCell ref="P12:Q12"/>
    <mergeCell ref="E13:G13"/>
    <mergeCell ref="H13:I14"/>
    <mergeCell ref="L13:M14"/>
    <mergeCell ref="P13:Q14"/>
    <mergeCell ref="T13:U14"/>
    <mergeCell ref="E14:G14"/>
    <mergeCell ref="E15:G15"/>
    <mergeCell ref="E16:G16"/>
    <mergeCell ref="E17:G17"/>
    <mergeCell ref="P20:Q21"/>
    <mergeCell ref="T20:U21"/>
    <mergeCell ref="E21:G21"/>
    <mergeCell ref="E18:G18"/>
    <mergeCell ref="E19:G19"/>
    <mergeCell ref="L19:M19"/>
    <mergeCell ref="P19:Q19"/>
    <mergeCell ref="T19:U19"/>
    <mergeCell ref="H19:I19"/>
    <mergeCell ref="E24:G24"/>
    <mergeCell ref="E25:G25"/>
    <mergeCell ref="E20:G20"/>
    <mergeCell ref="H20:I21"/>
    <mergeCell ref="L20:M21"/>
    <mergeCell ref="T26:U26"/>
    <mergeCell ref="E26:G26"/>
    <mergeCell ref="L27:M28"/>
    <mergeCell ref="P27:Q28"/>
    <mergeCell ref="T27:U28"/>
    <mergeCell ref="E28:G28"/>
    <mergeCell ref="H26:I26"/>
    <mergeCell ref="E27:G27"/>
    <mergeCell ref="T34:U34"/>
    <mergeCell ref="E35:G35"/>
    <mergeCell ref="L35:M36"/>
    <mergeCell ref="P35:Q36"/>
    <mergeCell ref="T35:U36"/>
    <mergeCell ref="E36:G36"/>
    <mergeCell ref="E34:G34"/>
    <mergeCell ref="A21:B21"/>
    <mergeCell ref="R2:S2"/>
    <mergeCell ref="E37:G37"/>
    <mergeCell ref="E38:G38"/>
    <mergeCell ref="E39:G39"/>
    <mergeCell ref="L34:M34"/>
    <mergeCell ref="P34:Q34"/>
    <mergeCell ref="E29:G29"/>
    <mergeCell ref="E30:G30"/>
    <mergeCell ref="E31:G31"/>
    <mergeCell ref="E32:G32"/>
    <mergeCell ref="E33:G33"/>
    <mergeCell ref="L26:M26"/>
    <mergeCell ref="P26:Q26"/>
    <mergeCell ref="E22:G22"/>
    <mergeCell ref="E23:G23"/>
  </mergeCells>
  <dataValidations count="1">
    <dataValidation type="list" allowBlank="1" showInputMessage="1" showErrorMessage="1" sqref="H6:I7 H13:I14 H20:I21 T35:U36 T27:U28 L6:M7 L13:M14 L20:M21 L27:M28 L35:M36 P6:Q7 P13:Q14 P20:Q21 P27:Q28 P35:Q36 T6:U7 T13:U14 T20:U21" xr:uid="{92057FC5-74EA-8748-9252-3201E4E3E9C7}">
      <formula1>"Fatigué, Normal, En Forme"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3x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Niemand</dc:creator>
  <cp:lastModifiedBy>Dominic Niemand</cp:lastModifiedBy>
  <dcterms:created xsi:type="dcterms:W3CDTF">2023-10-04T07:59:31Z</dcterms:created>
  <dcterms:modified xsi:type="dcterms:W3CDTF">2025-03-05T14:51:53Z</dcterms:modified>
</cp:coreProperties>
</file>