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dom/Desktop/"/>
    </mc:Choice>
  </mc:AlternateContent>
  <xr:revisionPtr revIDLastSave="0" documentId="13_ncr:1_{D7A056ED-9083-4C47-925E-0E0A3247EB27}" xr6:coauthVersionLast="47" xr6:coauthVersionMax="47" xr10:uidLastSave="{00000000-0000-0000-0000-000000000000}"/>
  <bookViews>
    <workbookView xWindow="0" yWindow="500" windowWidth="28800" windowHeight="16380" activeTab="2" xr2:uid="{407EC49D-3098-294B-ABCF-77F567B61F8D}"/>
  </bookViews>
  <sheets>
    <sheet name="M1_Force" sheetId="2" r:id="rId1"/>
    <sheet name="M2_Force" sheetId="3" r:id="rId2"/>
    <sheet name="M3_Force" sheetId="4" r:id="rId3"/>
    <sheet name="M4_Force" sheetId="5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7" i="4" l="1"/>
  <c r="R7" i="4"/>
  <c r="S6" i="4"/>
  <c r="R6" i="4"/>
  <c r="O6" i="4"/>
  <c r="N6" i="4"/>
  <c r="N7" i="4"/>
  <c r="K13" i="4"/>
  <c r="J13" i="4"/>
  <c r="W38" i="4"/>
  <c r="W37" i="4"/>
  <c r="V37" i="4"/>
  <c r="V35" i="4"/>
  <c r="J3" i="5"/>
  <c r="N3" i="5" s="1"/>
  <c r="O39" i="5"/>
  <c r="N39" i="5"/>
  <c r="K39" i="5"/>
  <c r="J39" i="5"/>
  <c r="O38" i="5"/>
  <c r="N38" i="5"/>
  <c r="K38" i="5"/>
  <c r="J38" i="5"/>
  <c r="O37" i="5"/>
  <c r="N37" i="5"/>
  <c r="K37" i="5"/>
  <c r="J37" i="5"/>
  <c r="O36" i="5"/>
  <c r="N36" i="5"/>
  <c r="K36" i="5"/>
  <c r="J36" i="5"/>
  <c r="O35" i="5"/>
  <c r="N35" i="5"/>
  <c r="K35" i="5"/>
  <c r="J35" i="5"/>
  <c r="O31" i="5"/>
  <c r="N31" i="5"/>
  <c r="K31" i="5"/>
  <c r="J31" i="5"/>
  <c r="O30" i="5"/>
  <c r="N30" i="5"/>
  <c r="K30" i="5"/>
  <c r="J30" i="5"/>
  <c r="O29" i="5"/>
  <c r="N29" i="5"/>
  <c r="K29" i="5"/>
  <c r="J29" i="5"/>
  <c r="O28" i="5"/>
  <c r="N28" i="5"/>
  <c r="K28" i="5"/>
  <c r="J28" i="5"/>
  <c r="O27" i="5"/>
  <c r="N27" i="5"/>
  <c r="K27" i="5"/>
  <c r="J27" i="5"/>
  <c r="O23" i="5"/>
  <c r="N23" i="5"/>
  <c r="K23" i="5"/>
  <c r="J23" i="5"/>
  <c r="O22" i="5"/>
  <c r="N22" i="5"/>
  <c r="K22" i="5"/>
  <c r="J22" i="5"/>
  <c r="O21" i="5"/>
  <c r="N21" i="5"/>
  <c r="K21" i="5"/>
  <c r="J21" i="5"/>
  <c r="O20" i="5"/>
  <c r="N20" i="5"/>
  <c r="K20" i="5"/>
  <c r="J20" i="5"/>
  <c r="O18" i="5"/>
  <c r="N18" i="5"/>
  <c r="K18" i="5"/>
  <c r="J18" i="5"/>
  <c r="O17" i="5"/>
  <c r="N17" i="5"/>
  <c r="K17" i="5"/>
  <c r="J17" i="5"/>
  <c r="O16" i="5"/>
  <c r="N16" i="5"/>
  <c r="K16" i="5"/>
  <c r="J16" i="5"/>
  <c r="O15" i="5"/>
  <c r="N15" i="5"/>
  <c r="K15" i="5"/>
  <c r="J15" i="5"/>
  <c r="O14" i="5"/>
  <c r="N14" i="5"/>
  <c r="K14" i="5"/>
  <c r="J14" i="5"/>
  <c r="O10" i="5"/>
  <c r="N10" i="5"/>
  <c r="K10" i="5"/>
  <c r="J10" i="5"/>
  <c r="O9" i="5"/>
  <c r="N9" i="5"/>
  <c r="K9" i="5"/>
  <c r="J9" i="5"/>
  <c r="O8" i="5"/>
  <c r="N8" i="5"/>
  <c r="K8" i="5"/>
  <c r="J8" i="5"/>
  <c r="O7" i="5"/>
  <c r="N7" i="5"/>
  <c r="K7" i="5"/>
  <c r="J7" i="5"/>
  <c r="O6" i="5"/>
  <c r="N6" i="5"/>
  <c r="K6" i="5"/>
  <c r="J6" i="5"/>
  <c r="J3" i="4"/>
  <c r="N3" i="4" s="1"/>
  <c r="R3" i="4" s="1"/>
  <c r="V3" i="4" s="1"/>
  <c r="J3" i="3"/>
  <c r="W39" i="4"/>
  <c r="V39" i="4"/>
  <c r="S39" i="4"/>
  <c r="R39" i="4"/>
  <c r="O39" i="4"/>
  <c r="N39" i="4"/>
  <c r="K39" i="4"/>
  <c r="J39" i="4"/>
  <c r="V38" i="4"/>
  <c r="S38" i="4"/>
  <c r="R38" i="4"/>
  <c r="O38" i="4"/>
  <c r="N38" i="4"/>
  <c r="K38" i="4"/>
  <c r="J38" i="4"/>
  <c r="S37" i="4"/>
  <c r="R37" i="4"/>
  <c r="O37" i="4"/>
  <c r="N37" i="4"/>
  <c r="K37" i="4"/>
  <c r="J37" i="4"/>
  <c r="W36" i="4"/>
  <c r="V36" i="4"/>
  <c r="S36" i="4"/>
  <c r="R36" i="4"/>
  <c r="O36" i="4"/>
  <c r="N36" i="4"/>
  <c r="K36" i="4"/>
  <c r="J36" i="4"/>
  <c r="W35" i="4"/>
  <c r="S35" i="4"/>
  <c r="R35" i="4"/>
  <c r="O35" i="4"/>
  <c r="N35" i="4"/>
  <c r="K35" i="4"/>
  <c r="J35" i="4"/>
  <c r="W31" i="4"/>
  <c r="V31" i="4"/>
  <c r="S31" i="4"/>
  <c r="R31" i="4"/>
  <c r="O31" i="4"/>
  <c r="N31" i="4"/>
  <c r="K31" i="4"/>
  <c r="J31" i="4"/>
  <c r="W30" i="4"/>
  <c r="V30" i="4"/>
  <c r="S30" i="4"/>
  <c r="R30" i="4"/>
  <c r="O30" i="4"/>
  <c r="N30" i="4"/>
  <c r="K30" i="4"/>
  <c r="J30" i="4"/>
  <c r="W29" i="4"/>
  <c r="V29" i="4"/>
  <c r="S29" i="4"/>
  <c r="R29" i="4"/>
  <c r="O29" i="4"/>
  <c r="N29" i="4"/>
  <c r="K29" i="4"/>
  <c r="J29" i="4"/>
  <c r="W28" i="4"/>
  <c r="V28" i="4"/>
  <c r="S28" i="4"/>
  <c r="R28" i="4"/>
  <c r="O28" i="4"/>
  <c r="N28" i="4"/>
  <c r="K28" i="4"/>
  <c r="J28" i="4"/>
  <c r="W27" i="4"/>
  <c r="V27" i="4"/>
  <c r="S27" i="4"/>
  <c r="R27" i="4"/>
  <c r="O27" i="4"/>
  <c r="N27" i="4"/>
  <c r="K27" i="4"/>
  <c r="J27" i="4"/>
  <c r="W23" i="4"/>
  <c r="V23" i="4"/>
  <c r="S23" i="4"/>
  <c r="R23" i="4"/>
  <c r="O23" i="4"/>
  <c r="N23" i="4"/>
  <c r="K23" i="4"/>
  <c r="J23" i="4"/>
  <c r="W22" i="4"/>
  <c r="V22" i="4"/>
  <c r="S22" i="4"/>
  <c r="R22" i="4"/>
  <c r="O22" i="4"/>
  <c r="N22" i="4"/>
  <c r="K22" i="4"/>
  <c r="J22" i="4"/>
  <c r="W21" i="4"/>
  <c r="V21" i="4"/>
  <c r="S21" i="4"/>
  <c r="R21" i="4"/>
  <c r="O21" i="4"/>
  <c r="N21" i="4"/>
  <c r="K21" i="4"/>
  <c r="J21" i="4"/>
  <c r="W20" i="4"/>
  <c r="V20" i="4"/>
  <c r="S20" i="4"/>
  <c r="R20" i="4"/>
  <c r="O20" i="4"/>
  <c r="N20" i="4"/>
  <c r="K20" i="4"/>
  <c r="J20" i="4"/>
  <c r="W18" i="4"/>
  <c r="V18" i="4"/>
  <c r="S18" i="4"/>
  <c r="R18" i="4"/>
  <c r="O18" i="4"/>
  <c r="N18" i="4"/>
  <c r="W17" i="4"/>
  <c r="V17" i="4"/>
  <c r="S17" i="4"/>
  <c r="R17" i="4"/>
  <c r="O17" i="4"/>
  <c r="N17" i="4"/>
  <c r="K17" i="4"/>
  <c r="J17" i="4"/>
  <c r="W16" i="4"/>
  <c r="V16" i="4"/>
  <c r="S16" i="4"/>
  <c r="R16" i="4"/>
  <c r="O16" i="4"/>
  <c r="N16" i="4"/>
  <c r="K16" i="4"/>
  <c r="J16" i="4"/>
  <c r="W15" i="4"/>
  <c r="V15" i="4"/>
  <c r="S15" i="4"/>
  <c r="R15" i="4"/>
  <c r="O15" i="4"/>
  <c r="N15" i="4"/>
  <c r="K15" i="4"/>
  <c r="J15" i="4"/>
  <c r="W14" i="4"/>
  <c r="V14" i="4"/>
  <c r="S14" i="4"/>
  <c r="R14" i="4"/>
  <c r="O14" i="4"/>
  <c r="N14" i="4"/>
  <c r="K14" i="4"/>
  <c r="J14" i="4"/>
  <c r="W10" i="4"/>
  <c r="V10" i="4"/>
  <c r="S10" i="4"/>
  <c r="R10" i="4"/>
  <c r="O10" i="4"/>
  <c r="N10" i="4"/>
  <c r="K10" i="4"/>
  <c r="J10" i="4"/>
  <c r="W9" i="4"/>
  <c r="V9" i="4"/>
  <c r="S9" i="4"/>
  <c r="R9" i="4"/>
  <c r="O9" i="4"/>
  <c r="N9" i="4"/>
  <c r="K9" i="4"/>
  <c r="J9" i="4"/>
  <c r="W8" i="4"/>
  <c r="V8" i="4"/>
  <c r="S8" i="4"/>
  <c r="R8" i="4"/>
  <c r="O8" i="4"/>
  <c r="N8" i="4"/>
  <c r="K8" i="4"/>
  <c r="J8" i="4"/>
  <c r="W7" i="4"/>
  <c r="V7" i="4"/>
  <c r="O7" i="4"/>
  <c r="K7" i="4"/>
  <c r="J7" i="4"/>
  <c r="W6" i="4"/>
  <c r="V6" i="4"/>
  <c r="K6" i="4"/>
  <c r="J6" i="4"/>
  <c r="W39" i="3"/>
  <c r="V39" i="3"/>
  <c r="S39" i="3"/>
  <c r="R39" i="3"/>
  <c r="O39" i="3"/>
  <c r="N39" i="3"/>
  <c r="K39" i="3"/>
  <c r="J39" i="3"/>
  <c r="W38" i="3"/>
  <c r="V38" i="3"/>
  <c r="S38" i="3"/>
  <c r="R38" i="3"/>
  <c r="O38" i="3"/>
  <c r="N38" i="3"/>
  <c r="K38" i="3"/>
  <c r="J38" i="3"/>
  <c r="W37" i="3"/>
  <c r="V37" i="3"/>
  <c r="S37" i="3"/>
  <c r="R37" i="3"/>
  <c r="O37" i="3"/>
  <c r="N37" i="3"/>
  <c r="K37" i="3"/>
  <c r="J37" i="3"/>
  <c r="W36" i="3"/>
  <c r="V36" i="3"/>
  <c r="S36" i="3"/>
  <c r="R36" i="3"/>
  <c r="O36" i="3"/>
  <c r="N36" i="3"/>
  <c r="K36" i="3"/>
  <c r="J36" i="3"/>
  <c r="W35" i="3"/>
  <c r="V35" i="3"/>
  <c r="S35" i="3"/>
  <c r="R35" i="3"/>
  <c r="O35" i="3"/>
  <c r="N35" i="3"/>
  <c r="K35" i="3"/>
  <c r="J35" i="3"/>
  <c r="W31" i="3"/>
  <c r="V31" i="3"/>
  <c r="S31" i="3"/>
  <c r="R31" i="3"/>
  <c r="O31" i="3"/>
  <c r="N31" i="3"/>
  <c r="K31" i="3"/>
  <c r="J31" i="3"/>
  <c r="W30" i="3"/>
  <c r="V30" i="3"/>
  <c r="S30" i="3"/>
  <c r="R30" i="3"/>
  <c r="O30" i="3"/>
  <c r="N30" i="3"/>
  <c r="K30" i="3"/>
  <c r="J30" i="3"/>
  <c r="W29" i="3"/>
  <c r="V29" i="3"/>
  <c r="S29" i="3"/>
  <c r="R29" i="3"/>
  <c r="O29" i="3"/>
  <c r="N29" i="3"/>
  <c r="K29" i="3"/>
  <c r="J29" i="3"/>
  <c r="W28" i="3"/>
  <c r="V28" i="3"/>
  <c r="S28" i="3"/>
  <c r="R28" i="3"/>
  <c r="O28" i="3"/>
  <c r="N28" i="3"/>
  <c r="K28" i="3"/>
  <c r="J28" i="3"/>
  <c r="W27" i="3"/>
  <c r="V27" i="3"/>
  <c r="S27" i="3"/>
  <c r="R27" i="3"/>
  <c r="O27" i="3"/>
  <c r="N27" i="3"/>
  <c r="K27" i="3"/>
  <c r="J27" i="3"/>
  <c r="W23" i="3"/>
  <c r="V23" i="3"/>
  <c r="S23" i="3"/>
  <c r="R23" i="3"/>
  <c r="O23" i="3"/>
  <c r="N23" i="3"/>
  <c r="K23" i="3"/>
  <c r="J23" i="3"/>
  <c r="W22" i="3"/>
  <c r="V22" i="3"/>
  <c r="S22" i="3"/>
  <c r="R22" i="3"/>
  <c r="O22" i="3"/>
  <c r="N22" i="3"/>
  <c r="K22" i="3"/>
  <c r="J22" i="3"/>
  <c r="W21" i="3"/>
  <c r="V21" i="3"/>
  <c r="S21" i="3"/>
  <c r="R21" i="3"/>
  <c r="O21" i="3"/>
  <c r="N21" i="3"/>
  <c r="K21" i="3"/>
  <c r="J21" i="3"/>
  <c r="W20" i="3"/>
  <c r="V20" i="3"/>
  <c r="S20" i="3"/>
  <c r="R20" i="3"/>
  <c r="O20" i="3"/>
  <c r="N20" i="3"/>
  <c r="K20" i="3"/>
  <c r="J20" i="3"/>
  <c r="W18" i="3"/>
  <c r="V18" i="3"/>
  <c r="S18" i="3"/>
  <c r="R18" i="3"/>
  <c r="O18" i="3"/>
  <c r="N18" i="3"/>
  <c r="K18" i="3"/>
  <c r="J18" i="3"/>
  <c r="W17" i="3"/>
  <c r="V17" i="3"/>
  <c r="S17" i="3"/>
  <c r="R17" i="3"/>
  <c r="O17" i="3"/>
  <c r="N17" i="3"/>
  <c r="K17" i="3"/>
  <c r="J17" i="3"/>
  <c r="W16" i="3"/>
  <c r="V16" i="3"/>
  <c r="S16" i="3"/>
  <c r="R16" i="3"/>
  <c r="O16" i="3"/>
  <c r="N16" i="3"/>
  <c r="K16" i="3"/>
  <c r="J16" i="3"/>
  <c r="W15" i="3"/>
  <c r="V15" i="3"/>
  <c r="S15" i="3"/>
  <c r="R15" i="3"/>
  <c r="O15" i="3"/>
  <c r="N15" i="3"/>
  <c r="K15" i="3"/>
  <c r="J15" i="3"/>
  <c r="W14" i="3"/>
  <c r="V14" i="3"/>
  <c r="S14" i="3"/>
  <c r="R14" i="3"/>
  <c r="O14" i="3"/>
  <c r="N14" i="3"/>
  <c r="K14" i="3"/>
  <c r="J14" i="3"/>
  <c r="W10" i="3"/>
  <c r="V10" i="3"/>
  <c r="S10" i="3"/>
  <c r="R10" i="3"/>
  <c r="O10" i="3"/>
  <c r="N10" i="3"/>
  <c r="K10" i="3"/>
  <c r="J10" i="3"/>
  <c r="W9" i="3"/>
  <c r="V9" i="3"/>
  <c r="S9" i="3"/>
  <c r="R9" i="3"/>
  <c r="O9" i="3"/>
  <c r="N9" i="3"/>
  <c r="K9" i="3"/>
  <c r="J9" i="3"/>
  <c r="W8" i="3"/>
  <c r="V8" i="3"/>
  <c r="S8" i="3"/>
  <c r="R8" i="3"/>
  <c r="O8" i="3"/>
  <c r="N8" i="3"/>
  <c r="K8" i="3"/>
  <c r="J8" i="3"/>
  <c r="W7" i="3"/>
  <c r="V7" i="3"/>
  <c r="S7" i="3"/>
  <c r="R7" i="3"/>
  <c r="O7" i="3"/>
  <c r="N7" i="3"/>
  <c r="K7" i="3"/>
  <c r="J7" i="3"/>
  <c r="W6" i="3"/>
  <c r="V6" i="3"/>
  <c r="S6" i="3"/>
  <c r="R6" i="3"/>
  <c r="O6" i="3"/>
  <c r="N6" i="3"/>
  <c r="K6" i="3"/>
  <c r="J6" i="3"/>
  <c r="N3" i="3"/>
  <c r="R3" i="3" s="1"/>
  <c r="V3" i="3" s="1"/>
  <c r="R39" i="2"/>
  <c r="R38" i="2"/>
  <c r="R37" i="2"/>
  <c r="R36" i="2"/>
  <c r="R35" i="2"/>
  <c r="R31" i="2"/>
  <c r="R30" i="2"/>
  <c r="R29" i="2"/>
  <c r="R28" i="2"/>
  <c r="R27" i="2"/>
  <c r="R23" i="2"/>
  <c r="R22" i="2"/>
  <c r="R21" i="2"/>
  <c r="R20" i="2"/>
  <c r="R18" i="2"/>
  <c r="R17" i="2"/>
  <c r="R16" i="2"/>
  <c r="R15" i="2"/>
  <c r="R14" i="2"/>
  <c r="R10" i="2"/>
  <c r="R9" i="2"/>
  <c r="R8" i="2"/>
  <c r="R7" i="2"/>
  <c r="R6" i="2"/>
  <c r="S39" i="2"/>
  <c r="S38" i="2"/>
  <c r="S37" i="2"/>
  <c r="S36" i="2"/>
  <c r="S35" i="2"/>
  <c r="S31" i="2"/>
  <c r="S30" i="2"/>
  <c r="S29" i="2"/>
  <c r="S28" i="2"/>
  <c r="S27" i="2"/>
  <c r="S23" i="2"/>
  <c r="S22" i="2"/>
  <c r="S21" i="2"/>
  <c r="S20" i="2"/>
  <c r="S18" i="2"/>
  <c r="S17" i="2"/>
  <c r="S16" i="2"/>
  <c r="S15" i="2"/>
  <c r="S14" i="2"/>
  <c r="S10" i="2"/>
  <c r="S9" i="2"/>
  <c r="S8" i="2"/>
  <c r="S7" i="2"/>
  <c r="S6" i="2"/>
  <c r="W39" i="2"/>
  <c r="W38" i="2"/>
  <c r="W37" i="2"/>
  <c r="W36" i="2"/>
  <c r="W35" i="2"/>
  <c r="W31" i="2"/>
  <c r="W30" i="2"/>
  <c r="W29" i="2"/>
  <c r="W28" i="2"/>
  <c r="W27" i="2"/>
  <c r="W23" i="2"/>
  <c r="W22" i="2"/>
  <c r="W21" i="2"/>
  <c r="W20" i="2"/>
  <c r="W18" i="2"/>
  <c r="W17" i="2"/>
  <c r="W16" i="2"/>
  <c r="W15" i="2"/>
  <c r="W14" i="2"/>
  <c r="W10" i="2"/>
  <c r="W9" i="2"/>
  <c r="W8" i="2"/>
  <c r="W7" i="2"/>
  <c r="W6" i="2"/>
  <c r="O39" i="2"/>
  <c r="O38" i="2"/>
  <c r="O37" i="2"/>
  <c r="O36" i="2"/>
  <c r="O35" i="2"/>
  <c r="O31" i="2"/>
  <c r="O30" i="2"/>
  <c r="O29" i="2"/>
  <c r="O28" i="2"/>
  <c r="O27" i="2"/>
  <c r="O23" i="2"/>
  <c r="O22" i="2"/>
  <c r="O21" i="2"/>
  <c r="O20" i="2"/>
  <c r="O18" i="2"/>
  <c r="O17" i="2"/>
  <c r="O16" i="2"/>
  <c r="O15" i="2"/>
  <c r="O14" i="2"/>
  <c r="O10" i="2"/>
  <c r="O9" i="2"/>
  <c r="O8" i="2"/>
  <c r="O7" i="2"/>
  <c r="O6" i="2"/>
  <c r="V39" i="2"/>
  <c r="V38" i="2"/>
  <c r="V37" i="2"/>
  <c r="V36" i="2"/>
  <c r="V35" i="2"/>
  <c r="N39" i="2"/>
  <c r="N38" i="2"/>
  <c r="N37" i="2"/>
  <c r="N36" i="2"/>
  <c r="N35" i="2"/>
  <c r="V31" i="2"/>
  <c r="V30" i="2"/>
  <c r="V29" i="2"/>
  <c r="V28" i="2"/>
  <c r="V27" i="2"/>
  <c r="N31" i="2"/>
  <c r="N30" i="2"/>
  <c r="N29" i="2"/>
  <c r="N28" i="2"/>
  <c r="N27" i="2"/>
  <c r="V23" i="2"/>
  <c r="V22" i="2"/>
  <c r="V21" i="2"/>
  <c r="V20" i="2"/>
  <c r="N23" i="2"/>
  <c r="N22" i="2"/>
  <c r="N21" i="2"/>
  <c r="N20" i="2"/>
  <c r="V18" i="2"/>
  <c r="V17" i="2"/>
  <c r="V16" i="2"/>
  <c r="V15" i="2"/>
  <c r="V14" i="2"/>
  <c r="N18" i="2"/>
  <c r="N17" i="2"/>
  <c r="N16" i="2"/>
  <c r="N15" i="2"/>
  <c r="N14" i="2"/>
  <c r="V10" i="2"/>
  <c r="V9" i="2"/>
  <c r="V8" i="2"/>
  <c r="V7" i="2"/>
  <c r="V6" i="2"/>
  <c r="N10" i="2"/>
  <c r="N9" i="2"/>
  <c r="N8" i="2"/>
  <c r="N7" i="2"/>
  <c r="N6" i="2"/>
  <c r="K39" i="2"/>
  <c r="J39" i="2"/>
  <c r="K38" i="2"/>
  <c r="K28" i="2"/>
  <c r="J28" i="2"/>
  <c r="J38" i="2"/>
  <c r="K37" i="2"/>
  <c r="J37" i="2"/>
  <c r="K36" i="2"/>
  <c r="J36" i="2"/>
  <c r="K35" i="2"/>
  <c r="J35" i="2"/>
  <c r="K31" i="2"/>
  <c r="J31" i="2"/>
  <c r="K30" i="2"/>
  <c r="J30" i="2"/>
  <c r="K29" i="2"/>
  <c r="J29" i="2"/>
  <c r="K3" i="5" l="1"/>
  <c r="O3" i="5" s="1"/>
  <c r="K3" i="4"/>
  <c r="O3" i="4" s="1"/>
  <c r="S3" i="4" s="1"/>
  <c r="W3" i="4" s="1"/>
  <c r="K3" i="3"/>
  <c r="O3" i="3" s="1"/>
  <c r="S3" i="3" s="1"/>
  <c r="W3" i="3" s="1"/>
  <c r="K27" i="2"/>
  <c r="J27" i="2"/>
  <c r="K22" i="2"/>
  <c r="J23" i="2"/>
  <c r="K23" i="2"/>
  <c r="J17" i="2"/>
  <c r="K17" i="2"/>
  <c r="J22" i="2"/>
  <c r="K21" i="2"/>
  <c r="J21" i="2"/>
  <c r="K20" i="2"/>
  <c r="J20" i="2"/>
  <c r="K18" i="2"/>
  <c r="J18" i="2"/>
  <c r="K16" i="2"/>
  <c r="J16" i="2"/>
  <c r="K15" i="2"/>
  <c r="J15" i="2"/>
  <c r="K14" i="2"/>
  <c r="J14" i="2"/>
  <c r="K10" i="2"/>
  <c r="K9" i="2"/>
  <c r="K8" i="2"/>
  <c r="K7" i="2"/>
  <c r="K6" i="2"/>
  <c r="J10" i="2"/>
  <c r="J9" i="2"/>
  <c r="J8" i="2"/>
  <c r="J7" i="2"/>
  <c r="J6" i="2"/>
  <c r="J3" i="2"/>
  <c r="N3" i="2" s="1"/>
  <c r="R3" i="2" s="1"/>
  <c r="V3" i="2" s="1"/>
  <c r="K3" i="2" l="1"/>
  <c r="O3" i="2" s="1"/>
  <c r="S3" i="2" s="1"/>
  <c r="W3" i="2" s="1"/>
</calcChain>
</file>

<file path=xl/sharedStrings.xml><?xml version="1.0" encoding="utf-8"?>
<sst xmlns="http://schemas.openxmlformats.org/spreadsheetml/2006/main" count="613" uniqueCount="70">
  <si>
    <t>Sets x Reps</t>
  </si>
  <si>
    <t xml:space="preserve">Weight </t>
  </si>
  <si>
    <t>WEEK 1</t>
  </si>
  <si>
    <t>WEEK 2</t>
  </si>
  <si>
    <t>WEEK 3</t>
  </si>
  <si>
    <t>WEEK 4</t>
  </si>
  <si>
    <t xml:space="preserve">Snatch </t>
  </si>
  <si>
    <t xml:space="preserve">Clean &amp; Jerk </t>
  </si>
  <si>
    <t xml:space="preserve">Clean </t>
  </si>
  <si>
    <t xml:space="preserve">Jerk </t>
  </si>
  <si>
    <t xml:space="preserve">Back Squat </t>
  </si>
  <si>
    <t xml:space="preserve">Front Squat </t>
  </si>
  <si>
    <t>Enter your current maxes in the following row</t>
  </si>
  <si>
    <t xml:space="preserve">Niveau de Fatigue </t>
  </si>
  <si>
    <t>Accessory</t>
  </si>
  <si>
    <t>Normal</t>
  </si>
  <si>
    <t>3x12</t>
  </si>
  <si>
    <t>3x10</t>
  </si>
  <si>
    <t>Front Squat surélevé</t>
  </si>
  <si>
    <t>Overhead press</t>
  </si>
  <si>
    <t>2x5 | 2x10</t>
  </si>
  <si>
    <t>Clean &amp; Jerk</t>
  </si>
  <si>
    <t>Barbell Row</t>
  </si>
  <si>
    <t>Incline DB Press</t>
  </si>
  <si>
    <t>Rotation Obliques Cable</t>
  </si>
  <si>
    <t>GHD Lesté</t>
  </si>
  <si>
    <t>DB RDL Unilatéral</t>
  </si>
  <si>
    <t>Seal Rows</t>
  </si>
  <si>
    <t>Tractions</t>
  </si>
  <si>
    <t xml:space="preserve">L-Sit </t>
  </si>
  <si>
    <t>3x'30sec</t>
  </si>
  <si>
    <t>Abduction en fente</t>
  </si>
  <si>
    <t>GHD</t>
  </si>
  <si>
    <t xml:space="preserve">Facepull </t>
  </si>
  <si>
    <t>3x15</t>
  </si>
  <si>
    <t>Skullcrusher</t>
  </si>
  <si>
    <t>Curl biceps Unilatéral</t>
  </si>
  <si>
    <t xml:space="preserve">Day 1 (Dimanche) </t>
  </si>
  <si>
    <t>Day 2 (Lundi)</t>
  </si>
  <si>
    <t>Day 5 (Vendredi)</t>
  </si>
  <si>
    <t>Day 4 (Jeudi)</t>
  </si>
  <si>
    <t>Day 3 (Mercredi)</t>
  </si>
  <si>
    <t>Prépa_Suisse_2025</t>
  </si>
  <si>
    <t xml:space="preserve">Clean Pull </t>
  </si>
  <si>
    <t xml:space="preserve">Power Snatch </t>
  </si>
  <si>
    <t>Power Clean + Pushpress + Jerk</t>
  </si>
  <si>
    <t>Power Clean + Jerk</t>
  </si>
  <si>
    <t xml:space="preserve">No foot Snatch </t>
  </si>
  <si>
    <t>Snatch Pull</t>
  </si>
  <si>
    <t>Heaving Hang Power Clean</t>
  </si>
  <si>
    <t>Tall Clean + Squat Jerk (Mobilité en PLS)</t>
  </si>
  <si>
    <t>Jerk</t>
  </si>
  <si>
    <t>Muscle Snatch</t>
  </si>
  <si>
    <t>No Foot Hang Snatch</t>
  </si>
  <si>
    <t>Snatch</t>
  </si>
  <si>
    <t>Muscle Clean (focus barre proche) + Pushpress</t>
  </si>
  <si>
    <t xml:space="preserve">Clean Pause over knee (stable in catch) + Jerk </t>
  </si>
  <si>
    <t>Travail Mobilité du Front Rack -&gt; voir exos Emma</t>
  </si>
  <si>
    <t>Front Squat avec Sangles, ! Posture</t>
  </si>
  <si>
    <t>From Bloc: Clean Pull + Power Clean + Pushpress + Jerk</t>
  </si>
  <si>
    <t>Front Squat Talons Surélevés</t>
  </si>
  <si>
    <t>Bloc Clean Pull</t>
  </si>
  <si>
    <t>Bloc Clean + Jerk</t>
  </si>
  <si>
    <t>Power Snatch + Hang Power Snatch</t>
  </si>
  <si>
    <t>Power Clean + Pause Jerk (Pause at Reception)</t>
  </si>
  <si>
    <t>Clean Pull</t>
  </si>
  <si>
    <t xml:space="preserve">Front Squat  </t>
  </si>
  <si>
    <t>Clean + Hang Clean + Jerk</t>
  </si>
  <si>
    <t>No foot Snatch + Hang Snatch</t>
  </si>
  <si>
    <t>Clean Grip Upright rows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</si>
</sst>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2"/>
      <color theme="1"/>
      <name val="Calibri"/>
      <family val="2"/>
      <scheme val="minor"/>
    </font>
    <font>
      <sz val="12"/>
      <color theme="1"/>
      <name val="Baskerville Old Face"/>
    </font>
    <font>
      <b/>
      <sz val="12"/>
      <color theme="1"/>
      <name val="Baskerville Old Face"/>
    </font>
    <font>
      <b/>
      <sz val="16"/>
      <color theme="1"/>
      <name val="Baskerville Old Face"/>
    </font>
    <font>
      <b/>
      <sz val="14"/>
      <color theme="1"/>
      <name val="Baskerville Old Face"/>
    </font>
    <font>
      <b/>
      <sz val="18"/>
      <color theme="1"/>
      <name val="Baskerville Old Face"/>
    </font>
  </fonts>
  <fills count="3">
    <fill>
      <patternFill patternType="none"/>
    </fill>
    <fill>
      <patternFill patternType="gray125"/>
    </fill>
    <fill>
      <patternFill patternType="solid">
        <fgColor rgb="FFD7EDF4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14" fontId="1" fillId="2" borderId="8" xfId="0" applyNumberFormat="1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14" fontId="1" fillId="2" borderId="0" xfId="0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EDF4"/>
      <color rgb="FFAFD1CA"/>
      <color rgb="FF84CFD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608904</xdr:colOff>
      <xdr:row>6</xdr:row>
      <xdr:rowOff>17397</xdr:rowOff>
    </xdr:from>
    <xdr:to>
      <xdr:col>2</xdr:col>
      <xdr:colOff>835068</xdr:colOff>
      <xdr:row>7</xdr:row>
      <xdr:rowOff>191369</xdr:rowOff>
    </xdr:to>
    <xdr:sp macro="" textlink="">
      <xdr:nvSpPr>
        <xdr:cNvPr id="2" name="Flèche vers le bas 1">
          <a:extLst>
            <a:ext uri="{FF2B5EF4-FFF2-40B4-BE49-F238E27FC236}">
              <a16:creationId xmlns:a16="http://schemas.microsoft.com/office/drawing/2014/main" id="{B7DB50D7-4B89-D04F-AD84-CCC9C056B511}"/>
            </a:ext>
          </a:extLst>
        </xdr:cNvPr>
        <xdr:cNvSpPr/>
      </xdr:nvSpPr>
      <xdr:spPr>
        <a:xfrm>
          <a:off x="3326704" y="2074797"/>
          <a:ext cx="226164" cy="516872"/>
        </a:xfrm>
        <a:prstGeom prst="downArrow">
          <a:avLst/>
        </a:prstGeom>
        <a:solidFill>
          <a:schemeClr val="tx1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608904</xdr:colOff>
      <xdr:row>6</xdr:row>
      <xdr:rowOff>17397</xdr:rowOff>
    </xdr:from>
    <xdr:to>
      <xdr:col>2</xdr:col>
      <xdr:colOff>835068</xdr:colOff>
      <xdr:row>7</xdr:row>
      <xdr:rowOff>191369</xdr:rowOff>
    </xdr:to>
    <xdr:sp macro="" textlink="">
      <xdr:nvSpPr>
        <xdr:cNvPr id="2" name="Flèche vers le bas 1">
          <a:extLst>
            <a:ext uri="{FF2B5EF4-FFF2-40B4-BE49-F238E27FC236}">
              <a16:creationId xmlns:a16="http://schemas.microsoft.com/office/drawing/2014/main" id="{88FCE956-6AED-1144-A9DC-75EB64A9BE7D}"/>
            </a:ext>
          </a:extLst>
        </xdr:cNvPr>
        <xdr:cNvSpPr/>
      </xdr:nvSpPr>
      <xdr:spPr>
        <a:xfrm>
          <a:off x="3326704" y="2074797"/>
          <a:ext cx="226164" cy="516872"/>
        </a:xfrm>
        <a:prstGeom prst="downArrow">
          <a:avLst/>
        </a:prstGeom>
        <a:solidFill>
          <a:schemeClr val="tx1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608904</xdr:colOff>
      <xdr:row>6</xdr:row>
      <xdr:rowOff>17397</xdr:rowOff>
    </xdr:from>
    <xdr:to>
      <xdr:col>2</xdr:col>
      <xdr:colOff>835068</xdr:colOff>
      <xdr:row>7</xdr:row>
      <xdr:rowOff>191369</xdr:rowOff>
    </xdr:to>
    <xdr:sp macro="" textlink="">
      <xdr:nvSpPr>
        <xdr:cNvPr id="2" name="Flèche vers le bas 1">
          <a:extLst>
            <a:ext uri="{FF2B5EF4-FFF2-40B4-BE49-F238E27FC236}">
              <a16:creationId xmlns:a16="http://schemas.microsoft.com/office/drawing/2014/main" id="{DA3C8BB9-0490-534E-85FC-587A2D973142}"/>
            </a:ext>
          </a:extLst>
        </xdr:cNvPr>
        <xdr:cNvSpPr/>
      </xdr:nvSpPr>
      <xdr:spPr>
        <a:xfrm>
          <a:off x="3326704" y="2074797"/>
          <a:ext cx="226164" cy="516872"/>
        </a:xfrm>
        <a:prstGeom prst="downArrow">
          <a:avLst/>
        </a:prstGeom>
        <a:solidFill>
          <a:schemeClr val="tx1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608904</xdr:colOff>
      <xdr:row>6</xdr:row>
      <xdr:rowOff>17397</xdr:rowOff>
    </xdr:from>
    <xdr:to>
      <xdr:col>2</xdr:col>
      <xdr:colOff>835068</xdr:colOff>
      <xdr:row>7</xdr:row>
      <xdr:rowOff>191369</xdr:rowOff>
    </xdr:to>
    <xdr:sp macro="" textlink="">
      <xdr:nvSpPr>
        <xdr:cNvPr id="2" name="Flèche vers le bas 1">
          <a:extLst>
            <a:ext uri="{FF2B5EF4-FFF2-40B4-BE49-F238E27FC236}">
              <a16:creationId xmlns:a16="http://schemas.microsoft.com/office/drawing/2014/main" id="{57AC2ADA-A794-D74A-AFA5-B753A94D56CB}"/>
            </a:ext>
          </a:extLst>
        </xdr:cNvPr>
        <xdr:cNvSpPr/>
      </xdr:nvSpPr>
      <xdr:spPr>
        <a:xfrm>
          <a:off x="3326704" y="2074797"/>
          <a:ext cx="226164" cy="516872"/>
        </a:xfrm>
        <a:prstGeom prst="downArrow">
          <a:avLst/>
        </a:prstGeom>
        <a:solidFill>
          <a:schemeClr val="tx1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97651D-C7AC-F04B-814F-6499875D0146}">
  <dimension ref="A1:Y41"/>
  <sheetViews>
    <sheetView zoomScale="75" workbookViewId="0">
      <selection activeCell="R40" sqref="R40"/>
    </sheetView>
  </sheetViews>
  <sheetFormatPr baseColWidth="10" defaultColWidth="17.83203125" defaultRowHeight="27" customHeight="1" x14ac:dyDescent="0.2"/>
  <cols>
    <col min="1" max="2" width="17.83203125" style="1"/>
    <col min="3" max="3" width="17.83203125" style="2"/>
    <col min="4" max="4" width="22.5" style="3" customWidth="1"/>
    <col min="5" max="5" width="17.83203125" style="3"/>
    <col min="6" max="6" width="17.83203125" style="4"/>
    <col min="7" max="7" width="18.1640625" style="3" customWidth="1"/>
    <col min="8" max="9" width="10.1640625" style="3" customWidth="1"/>
    <col min="10" max="11" width="17.83203125" style="3"/>
    <col min="12" max="13" width="10.1640625" style="3" customWidth="1"/>
    <col min="14" max="15" width="17.83203125" style="3"/>
    <col min="16" max="17" width="10.1640625" style="3" customWidth="1"/>
    <col min="18" max="19" width="17.83203125" style="3"/>
    <col min="20" max="21" width="10.1640625" style="3" customWidth="1"/>
    <col min="22" max="16384" width="17.83203125" style="3"/>
  </cols>
  <sheetData>
    <row r="1" spans="1:25" ht="27" customHeight="1" x14ac:dyDescent="0.2">
      <c r="A1" s="30" t="s">
        <v>42</v>
      </c>
      <c r="B1" s="30"/>
      <c r="C1" s="30"/>
    </row>
    <row r="2" spans="1:25" ht="27" customHeight="1" x14ac:dyDescent="0.2">
      <c r="A2" s="30"/>
      <c r="B2" s="30"/>
      <c r="C2" s="30"/>
    </row>
    <row r="3" spans="1:25" ht="27" customHeight="1" thickBot="1" x14ac:dyDescent="0.25">
      <c r="A3" s="29"/>
      <c r="B3" s="29"/>
      <c r="F3" s="3"/>
      <c r="I3" s="4"/>
      <c r="J3" s="14">
        <f>DATE(2025, 3, 9)</f>
        <v>45725</v>
      </c>
      <c r="K3" s="14">
        <f>J3+6</f>
        <v>45731</v>
      </c>
      <c r="N3" s="14">
        <f>J3+7</f>
        <v>45732</v>
      </c>
      <c r="O3" s="14">
        <f>K3+7</f>
        <v>45738</v>
      </c>
      <c r="R3" s="14">
        <f>N3+7</f>
        <v>45739</v>
      </c>
      <c r="S3" s="14">
        <f>O3+7</f>
        <v>45745</v>
      </c>
      <c r="V3" s="14">
        <f>R3+7</f>
        <v>45746</v>
      </c>
      <c r="W3" s="14">
        <f>S3+7</f>
        <v>45752</v>
      </c>
    </row>
    <row r="4" spans="1:25" ht="27" customHeight="1" thickBot="1" x14ac:dyDescent="0.25">
      <c r="F4" s="3"/>
      <c r="J4" s="31" t="s">
        <v>2</v>
      </c>
      <c r="K4" s="32"/>
      <c r="N4" s="31" t="s">
        <v>3</v>
      </c>
      <c r="O4" s="32"/>
      <c r="R4" s="31" t="s">
        <v>4</v>
      </c>
      <c r="S4" s="32"/>
      <c r="V4" s="31" t="s">
        <v>5</v>
      </c>
      <c r="W4" s="32"/>
    </row>
    <row r="5" spans="1:25" ht="27" customHeight="1" thickBot="1" x14ac:dyDescent="0.25">
      <c r="E5" s="26" t="s">
        <v>37</v>
      </c>
      <c r="F5" s="27"/>
      <c r="G5" s="28"/>
      <c r="H5" s="20" t="s">
        <v>13</v>
      </c>
      <c r="I5" s="21"/>
      <c r="J5" s="7" t="s">
        <v>0</v>
      </c>
      <c r="K5" s="7" t="s">
        <v>1</v>
      </c>
      <c r="L5" s="20" t="s">
        <v>13</v>
      </c>
      <c r="M5" s="21"/>
      <c r="N5" s="7" t="s">
        <v>0</v>
      </c>
      <c r="O5" s="7" t="s">
        <v>1</v>
      </c>
      <c r="P5" s="20" t="s">
        <v>13</v>
      </c>
      <c r="Q5" s="21"/>
      <c r="R5" s="7" t="s">
        <v>0</v>
      </c>
      <c r="S5" s="7" t="s">
        <v>1</v>
      </c>
      <c r="T5" s="20" t="s">
        <v>13</v>
      </c>
      <c r="U5" s="21"/>
      <c r="V5" s="7" t="s">
        <v>0</v>
      </c>
      <c r="W5" s="7" t="s">
        <v>1</v>
      </c>
      <c r="X5" s="7" t="s">
        <v>14</v>
      </c>
      <c r="Y5" s="7" t="s">
        <v>0</v>
      </c>
    </row>
    <row r="6" spans="1:25" ht="27" customHeight="1" x14ac:dyDescent="0.2">
      <c r="A6" s="29" t="s">
        <v>12</v>
      </c>
      <c r="B6" s="29"/>
      <c r="C6" s="29"/>
      <c r="E6" s="15" t="s">
        <v>55</v>
      </c>
      <c r="F6" s="16"/>
      <c r="G6" s="16"/>
      <c r="H6" s="18" t="s">
        <v>15</v>
      </c>
      <c r="I6" s="22"/>
      <c r="J6" s="3" t="str">
        <f>IF(H$6="Fatigué", "2x[3+2]", IF(H$6="Normal", "3x[3+2]", IF(H$6="En Forme", "3x[3+2]", "0")))</f>
        <v>3x[3+2]</v>
      </c>
      <c r="K6" s="3">
        <f>IF(H$6="Fatigué", $C$11*0.45, IF(H$6="Normal", $C$11*0.5, IF(H$6="En Forme", $C$11*0.55, "0")))</f>
        <v>77.5</v>
      </c>
      <c r="L6" s="18" t="s">
        <v>15</v>
      </c>
      <c r="M6" s="22"/>
      <c r="N6" s="3" t="str">
        <f>IF(L$6="Fatigué", "2x[3+2]", IF(L$6="Normal", "3x[3+2]", IF(L$6="En Forme", "3x[3+2]", "0")))</f>
        <v>3x[3+2]</v>
      </c>
      <c r="O6" s="3">
        <f>IF(L$6="Fatigué", $C$11*0.47, IF(L$6="Normal", $C$11*0.52, IF(L$6="En Forme", $C$11*0.57, "0")))</f>
        <v>80.600000000000009</v>
      </c>
      <c r="P6" s="18" t="s">
        <v>15</v>
      </c>
      <c r="Q6" s="22"/>
      <c r="R6" s="3" t="str">
        <f>IF(P$6="Fatigué", "2x[3+2]", IF(P$6="Normal", "2x[3+2]", IF(P$6="En Forme", "2x[3+2]", "0")))</f>
        <v>2x[3+2]</v>
      </c>
      <c r="S6" s="3">
        <f>IF(P$6="Fatigué", $C$11*0.38, IF(P$6="Normal", $C$11*0.43, IF(P$6="En Forme", $C$11*0.46, "0")))</f>
        <v>66.650000000000006</v>
      </c>
      <c r="T6" s="18" t="s">
        <v>15</v>
      </c>
      <c r="U6" s="22"/>
      <c r="V6" s="3" t="str">
        <f>IF(T$6="Fatigué", "2x[3+2]", IF(T$6="Normal", "3x[3+2]", IF(T$6="En Forme", "3x[3+2]", "0")))</f>
        <v>3x[3+2]</v>
      </c>
      <c r="W6" s="3">
        <f>IF(T$6="Fatigué", $C$11*0.5, IF(T$6="Normal", $C$11*0.55, IF(T$6="En Forme", $C$11*0.6, "0")))</f>
        <v>85.25</v>
      </c>
      <c r="X6" s="3" t="s">
        <v>19</v>
      </c>
      <c r="Y6" s="3" t="s">
        <v>20</v>
      </c>
    </row>
    <row r="7" spans="1:25" ht="27" customHeight="1" thickBot="1" x14ac:dyDescent="0.25">
      <c r="A7" s="29"/>
      <c r="B7" s="29"/>
      <c r="C7" s="29"/>
      <c r="E7" s="15" t="s">
        <v>56</v>
      </c>
      <c r="F7" s="16"/>
      <c r="G7" s="16"/>
      <c r="H7" s="23"/>
      <c r="I7" s="24"/>
      <c r="J7" s="3" t="str">
        <f>IF(H$6="Fatigué", "4x[2+1]", IF(H$6="Normal", "5x[2+1]", IF(H$6="En Forme", "5x[2+1]", "0")))</f>
        <v>5x[2+1]</v>
      </c>
      <c r="K7" s="3">
        <f>IF(H$6="Fatigué", $C$13*0.72, IF(H$6="Normal", $C$13*0.77, IF(H$6="En Forme", $C$13*0.8, "0")))</f>
        <v>123.2</v>
      </c>
      <c r="L7" s="23"/>
      <c r="M7" s="24"/>
      <c r="N7" s="3" t="str">
        <f>IF(L$6="Fatigué", "4x[2+1]", IF(L$6="Normal", "5x[2+1]", IF(L$6="En Forme", "5x[2+1]", "0")))</f>
        <v>5x[2+1]</v>
      </c>
      <c r="O7" s="3">
        <f>IF(L$6="Fatigué", $C$13*0.74, IF(L$6="Normal", $C$13*0.79, IF(L$6="En Forme", $C$13*0.82, "0")))</f>
        <v>126.4</v>
      </c>
      <c r="P7" s="23"/>
      <c r="Q7" s="24"/>
      <c r="R7" s="3" t="str">
        <f>IF(P$6="Fatigué", "2x[2+1]", IF(P$6="Normal", "3x[2+1]", IF(P$6="En Forme", "3x[2+1]", "0")))</f>
        <v>3x[2+1]</v>
      </c>
      <c r="S7" s="3">
        <f>IF(P$6="Fatigué", $C$13*0.65, IF(P$6="Normal", $C$13*0.7, IF(P$6="En Forme", $C$13*0.73, "0")))</f>
        <v>112</v>
      </c>
      <c r="T7" s="23"/>
      <c r="U7" s="24"/>
      <c r="V7" s="3" t="str">
        <f>IF(T$6="Fatigué", "4x[2+1]", IF(T$6="Normal", "5x[2+1]", IF(T$6="En Forme", "5x[2+1]", "0")))</f>
        <v>5x[2+1]</v>
      </c>
      <c r="W7" s="3">
        <f>IF(T$6="Fatigué", $C$13*0.77, IF(T$6="Normal", $C$13*0.82, IF(T$6="En Forme", $C$13*0.85, "0")))</f>
        <v>131.19999999999999</v>
      </c>
      <c r="X7" s="3" t="s">
        <v>28</v>
      </c>
      <c r="Y7" s="3" t="s">
        <v>16</v>
      </c>
    </row>
    <row r="8" spans="1:25" ht="27" customHeight="1" thickBot="1" x14ac:dyDescent="0.25">
      <c r="E8" s="15" t="s">
        <v>43</v>
      </c>
      <c r="F8" s="16"/>
      <c r="G8" s="16"/>
      <c r="J8" s="3" t="str">
        <f>IF(H$6="Fatigué", "2x3", IF(H$6="Normal", "3x3", IF(H$6="En Forme", "3x3", "0")))</f>
        <v>3x3</v>
      </c>
      <c r="K8" s="3">
        <f>IF(H$6="Fatigué", $C$13*1, IF(H$6="Normal", $C$13*1.05, IF(H$6="En Forme", $C$13*1.1, "0")))</f>
        <v>168</v>
      </c>
      <c r="N8" s="3" t="str">
        <f>IF(L$6="Fatigué", "2x3", IF(L$6="Normal", "3x3", IF(L$6="En Forme", "3x3", "0")))</f>
        <v>3x3</v>
      </c>
      <c r="O8" s="3">
        <f>IF(L$6="Fatigué", $C$13*1.02, IF(L$6="Normal", $C$13*1.07, IF(L$6="En Forme", $C$13*1.12, "0")))</f>
        <v>171.20000000000002</v>
      </c>
      <c r="R8" s="3" t="str">
        <f>IF(P$6="Fatigué", "1x3", IF(P$6="Normal", "2x3", IF(P$6="En Forme", "2x3", "0")))</f>
        <v>2x3</v>
      </c>
      <c r="S8" s="3">
        <f>IF(P$6="Fatigué", $C$13*0.93, IF(P$6="Normal", $C$13*0.98, IF(P$6="En Forme", $C$13*1.03, "0")))</f>
        <v>156.80000000000001</v>
      </c>
      <c r="V8" s="3" t="str">
        <f>IF(T$6="Fatigué", "2x3", IF(T$6="Normal", "3x3", IF(T$6="En Forme", "3x3", "0")))</f>
        <v>3x3</v>
      </c>
      <c r="W8" s="3">
        <f>IF(T$6="Fatigué", $C$13*1.05, IF(T$6="Normal", $C$13*1.1, IF(T$6="En Forme", $C$13*1.15, "0")))</f>
        <v>176</v>
      </c>
      <c r="X8" s="3" t="s">
        <v>29</v>
      </c>
      <c r="Y8" s="3" t="s">
        <v>30</v>
      </c>
    </row>
    <row r="9" spans="1:25" ht="27" customHeight="1" thickBot="1" x14ac:dyDescent="0.25">
      <c r="A9" s="10" t="s">
        <v>6</v>
      </c>
      <c r="B9" s="11"/>
      <c r="C9" s="5">
        <v>125</v>
      </c>
      <c r="D9" s="6"/>
      <c r="E9" s="15" t="s">
        <v>44</v>
      </c>
      <c r="F9" s="16"/>
      <c r="G9" s="16"/>
      <c r="J9" s="3" t="str">
        <f>IF(H$6="Fatigué", "3x2", IF(H$6="Normal", "3x2", IF(H$6="En Forme", "4x2", "0")))</f>
        <v>3x2</v>
      </c>
      <c r="K9" s="3">
        <f>IF(H$6="Fatigué", $C$9*0.72, IF(H$6="Normal", $C$9*0.77, IF(H$6="En Forme", $C$9*0.8, "0")))</f>
        <v>96.25</v>
      </c>
      <c r="N9" s="3" t="str">
        <f>IF(L$6="Fatigué", "3x2", IF(L$6="Normal", "3x2", IF(L$6="En Forme", "4x2", "0")))</f>
        <v>3x2</v>
      </c>
      <c r="O9" s="3">
        <f>IF(L$6="Fatigué", $C$9*0.74, IF(L$6="Normal", $C$9*0.79, IF(L$6="En Forme", $C$9*0.82, "0")))</f>
        <v>98.75</v>
      </c>
      <c r="R9" s="3" t="str">
        <f>IF(P$6="Fatigué", "2x2", IF(P$6="Normal", "2x2", IF(P$6="En Forme", "3x2", "0")))</f>
        <v>2x2</v>
      </c>
      <c r="S9" s="3">
        <f>IF(P$6="Fatigué", $C$9*0.65, IF(P$6="Normal", $C$9*0.7, IF(P$6="En Forme", $C$9*0.73, "0")))</f>
        <v>87.5</v>
      </c>
      <c r="V9" s="3" t="str">
        <f>IF(T$6="Fatigué", "3x2", IF(T$6="Normal", "3x2", IF(T$6="En Forme", "4x2", "0")))</f>
        <v>3x2</v>
      </c>
      <c r="W9" s="3">
        <f>IF(T$6="Fatigué", $C$9*0.77, IF(T$6="Normal", $C$9*0.82, IF(T$6="En Forme", $C$9*0.85, "0")))</f>
        <v>102.5</v>
      </c>
    </row>
    <row r="10" spans="1:25" ht="27" customHeight="1" thickBot="1" x14ac:dyDescent="0.25">
      <c r="E10" s="15" t="s">
        <v>10</v>
      </c>
      <c r="F10" s="16"/>
      <c r="G10" s="16"/>
      <c r="J10" s="3" t="str">
        <f>IF(H$6="Fatigué", "3x8", IF(H$6="Normal", "4x8", IF(H$6="En Forme", "4x8", "0")))</f>
        <v>4x8</v>
      </c>
      <c r="K10" s="3">
        <f>IF(H$6="Fatigué", $C$17*0.65, IF(H$6="Normal", $C$17*0.7, IF(H$6="En Forme", $C$17*0.75, "0")))</f>
        <v>147</v>
      </c>
      <c r="N10" s="3" t="str">
        <f>IF(L$6="Fatigué", "3x8", IF(L$6="Normal", "4x8", IF(L$6="En Forme", "4x8", "0")))</f>
        <v>4x8</v>
      </c>
      <c r="O10" s="3">
        <f>IF(L$6="Fatigué", $C$17*0.67, IF(L$6="Normal", $C$17*0.72, IF(L$6="En Forme", $C$17*0.77, "0")))</f>
        <v>151.19999999999999</v>
      </c>
      <c r="R10" s="3" t="str">
        <f>IF(P$6="Fatigué", "2x8", IF(P$6="Normal", "2x8", IF(P$6="En Forme", "3x8", "0")))</f>
        <v>2x8</v>
      </c>
      <c r="S10" s="3">
        <f>IF(P$6="Fatigué", $C$17*0.58, IF(P$6="Normal", $C$17*0.63, IF(P$6="En Forme", $C$17*0.68, "0")))</f>
        <v>132.30000000000001</v>
      </c>
      <c r="V10" s="3" t="str">
        <f>IF(T$6="Fatigué", "3x8", IF(T$6="Normal", "4x8", IF(T$6="En Forme", "4x8", "0")))</f>
        <v>4x8</v>
      </c>
      <c r="W10" s="3">
        <f>IF(T$6="Fatigué", $C$17*0.7, IF(T$6="Normal", $C$17*0.75, IF(T$6="En Forme", $C$17*0.8, "0")))</f>
        <v>157.5</v>
      </c>
    </row>
    <row r="11" spans="1:25" ht="27" customHeight="1" thickBot="1" x14ac:dyDescent="0.25">
      <c r="A11" s="10" t="s">
        <v>7</v>
      </c>
      <c r="B11" s="11"/>
      <c r="C11" s="2">
        <v>155</v>
      </c>
      <c r="D11" s="12"/>
      <c r="E11" s="17"/>
      <c r="F11" s="17"/>
      <c r="G11" s="17"/>
      <c r="K11" s="4"/>
    </row>
    <row r="12" spans="1:25" ht="27" customHeight="1" thickBot="1" x14ac:dyDescent="0.25">
      <c r="C12" s="8"/>
      <c r="E12" s="26" t="s">
        <v>38</v>
      </c>
      <c r="F12" s="27"/>
      <c r="G12" s="28"/>
      <c r="H12" s="20" t="s">
        <v>13</v>
      </c>
      <c r="I12" s="21"/>
      <c r="J12" s="7" t="s">
        <v>0</v>
      </c>
      <c r="K12" s="7" t="s">
        <v>1</v>
      </c>
      <c r="L12" s="20" t="s">
        <v>13</v>
      </c>
      <c r="M12" s="21"/>
      <c r="N12" s="7" t="s">
        <v>0</v>
      </c>
      <c r="O12" s="7" t="s">
        <v>1</v>
      </c>
      <c r="P12" s="20" t="s">
        <v>13</v>
      </c>
      <c r="Q12" s="21"/>
      <c r="R12" s="7" t="s">
        <v>0</v>
      </c>
      <c r="S12" s="7" t="s">
        <v>1</v>
      </c>
      <c r="T12" s="20" t="s">
        <v>13</v>
      </c>
      <c r="U12" s="21"/>
      <c r="V12" s="7" t="s">
        <v>0</v>
      </c>
      <c r="W12" s="7" t="s">
        <v>1</v>
      </c>
      <c r="X12" s="7" t="s">
        <v>14</v>
      </c>
      <c r="Y12" s="7" t="s">
        <v>0</v>
      </c>
    </row>
    <row r="13" spans="1:25" ht="27" customHeight="1" thickBot="1" x14ac:dyDescent="0.25">
      <c r="A13" s="10" t="s">
        <v>8</v>
      </c>
      <c r="B13" s="11"/>
      <c r="C13" s="9">
        <v>160</v>
      </c>
      <c r="E13" s="18" t="s">
        <v>57</v>
      </c>
      <c r="F13" s="19"/>
      <c r="G13" s="19"/>
      <c r="H13" s="18" t="s">
        <v>15</v>
      </c>
      <c r="I13" s="22"/>
      <c r="L13" s="18" t="s">
        <v>15</v>
      </c>
      <c r="M13" s="22"/>
      <c r="P13" s="18" t="s">
        <v>15</v>
      </c>
      <c r="Q13" s="22"/>
      <c r="T13" s="18" t="s">
        <v>15</v>
      </c>
      <c r="U13" s="22"/>
      <c r="X13" s="3" t="s">
        <v>18</v>
      </c>
      <c r="Y13" s="3" t="s">
        <v>16</v>
      </c>
    </row>
    <row r="14" spans="1:25" ht="27" customHeight="1" thickBot="1" x14ac:dyDescent="0.25">
      <c r="C14" s="8"/>
      <c r="E14" s="15" t="s">
        <v>45</v>
      </c>
      <c r="F14" s="16"/>
      <c r="G14" s="16"/>
      <c r="H14" s="23"/>
      <c r="I14" s="24"/>
      <c r="J14" s="3" t="str">
        <f>IF(H$13="Fatigué", "2x[2+2+1]", IF(H$13="Normal", "3x[2+2+1]", IF(H$13="En Forme", "3x[2+2+1]", "0")))</f>
        <v>3x[2+2+1]</v>
      </c>
      <c r="K14" s="3">
        <f>IF(H$13="Fatigué", $C$11*0.6, IF(H$13="Normal", $C$11*0.65, IF(H$13="En Forme", $C$11*0.68, "0")))</f>
        <v>100.75</v>
      </c>
      <c r="L14" s="23"/>
      <c r="M14" s="24"/>
      <c r="N14" s="3" t="str">
        <f>IF(L$13="Fatigué", "2x[2+2+1]", IF(L$13="Normal", "3x[2+2+1]", IF(L$13="En Forme", "3x[2+2+1]", "0")))</f>
        <v>3x[2+2+1]</v>
      </c>
      <c r="O14" s="3">
        <f>IF(L$13="Fatigué", $C$11*0.62, IF(L$13="Normal", $C$11*0.67, IF(L$13="En Forme", $C$11*0.7, "0")))</f>
        <v>103.85000000000001</v>
      </c>
      <c r="P14" s="23"/>
      <c r="Q14" s="24"/>
      <c r="R14" s="3" t="str">
        <f>IF(P$13="Fatigué", "1x[2+2+1]", IF(P$13="Normal", "2x[2+2+1]", IF(P$13="En Forme", "2x[2+2+1]", "0")))</f>
        <v>2x[2+2+1]</v>
      </c>
      <c r="S14" s="3">
        <f>IF(P$13="Fatigué", $C$11*0.53, IF(P$13="Normal", $C$11*0.58, IF(P$13="En Forme", $C$11*0.61, "0")))</f>
        <v>89.899999999999991</v>
      </c>
      <c r="T14" s="23"/>
      <c r="U14" s="24"/>
      <c r="V14" s="3" t="str">
        <f>IF(T$13="Fatigué", "2x[2+2+1]", IF(T$13="Normal", "3x[2+2+1]", IF(T$13="En Forme", "3x[2+2+1]", "0")))</f>
        <v>3x[2+2+1]</v>
      </c>
      <c r="W14" s="3">
        <f>IF(T$13="Fatigué", $C$11*0.65, IF(T$13="Normal", $C$11*0.7, IF(T$13="En Forme", $C$11*0.73, "0")))</f>
        <v>108.5</v>
      </c>
      <c r="X14" s="3" t="s">
        <v>25</v>
      </c>
      <c r="Y14" s="3" t="s">
        <v>17</v>
      </c>
    </row>
    <row r="15" spans="1:25" ht="27" customHeight="1" thickBot="1" x14ac:dyDescent="0.25">
      <c r="A15" s="10" t="s">
        <v>9</v>
      </c>
      <c r="B15" s="11"/>
      <c r="C15" s="9">
        <v>170</v>
      </c>
      <c r="E15" s="15" t="s">
        <v>46</v>
      </c>
      <c r="F15" s="16"/>
      <c r="G15" s="16"/>
      <c r="J15" s="3" t="str">
        <f>IF(H$13="Fatigué", "3x2", IF(H$13="Normal", "4x2", IF(H$13="En Forme", "4x2", "0")))</f>
        <v>4x2</v>
      </c>
      <c r="K15" s="3">
        <f>IF(H$13="Fatigué", $C$11*0.7, IF(H$13="Normal", $C$11*0.75, IF(H$13="En Forme", $C$11*0.8, "0")))</f>
        <v>116.25</v>
      </c>
      <c r="N15" s="3" t="str">
        <f>IF(L$13="Fatigué", "3x2", IF(L$13="Normal", "4x2", IF(L$13="En Forme", "4x2", "0")))</f>
        <v>4x2</v>
      </c>
      <c r="O15" s="3">
        <f>IF(L$13="Fatigué", $C$11*0.72, IF(L$13="Normal", $C$11*0.77, IF(L$13="En Forme", $C$11*0.82, "0")))</f>
        <v>119.35000000000001</v>
      </c>
      <c r="R15" s="3" t="str">
        <f>IF(P$13="Fatigué", "2x2", IF(P$13="Normal", "3x2", IF(P$13="En Forme", "3x2", "0")))</f>
        <v>3x2</v>
      </c>
      <c r="S15" s="3">
        <f>IF(P$13="Fatigué", $C$11*0.63, IF(P$13="Normal", $C$11*0.68, IF(P$13="En Forme", $C$11*0.73, "0")))</f>
        <v>105.4</v>
      </c>
      <c r="V15" s="3" t="str">
        <f>IF(T$13="Fatigué", "3x2", IF(T$13="Normal", "4x2", IF(T$13="En Forme", "4x2", "0")))</f>
        <v>4x2</v>
      </c>
      <c r="W15" s="3">
        <f>IF(T$13="Fatigué", $C$11*0.75, IF(T$13="Normal", $C$11*0.8, IF(T$13="En Forme", $C$11*0.85, "0")))</f>
        <v>124</v>
      </c>
      <c r="X15" s="3" t="s">
        <v>26</v>
      </c>
      <c r="Y15" s="3" t="s">
        <v>17</v>
      </c>
    </row>
    <row r="16" spans="1:25" ht="27" customHeight="1" thickBot="1" x14ac:dyDescent="0.25">
      <c r="C16" s="8"/>
      <c r="E16" s="15" t="s">
        <v>6</v>
      </c>
      <c r="F16" s="16"/>
      <c r="G16" s="16"/>
      <c r="J16" s="3" t="str">
        <f>IF(H$13="Fatigué", "3x1", IF(H$13="Normal", "3x1", IF(H$13="En Forme", "4x1", "0")))</f>
        <v>3x1</v>
      </c>
      <c r="K16" s="3">
        <f>IF(H$13="Fatigué", $C$9*0.85, IF(H$13="Normal", $C$9*0.9, IF(H$13="En Forme", $C$9*0.93, "0")))</f>
        <v>112.5</v>
      </c>
      <c r="N16" s="3" t="str">
        <f>IF(L$13="Fatigué", "3x1", IF(L$13="Normal", "3x1", IF(L$13="En Forme", "4x1", "0")))</f>
        <v>3x1</v>
      </c>
      <c r="O16" s="3">
        <f>IF(L$13="Fatigué", $C$9*0.87, IF(L$13="Normal", $C$9*0.92, IF(L$13="En Forme", $C$9*0.95, "0")))</f>
        <v>115</v>
      </c>
      <c r="R16" s="3" t="str">
        <f>IF(P$13="Fatigué", "2x1", IF(P$13="Normal", "2x1", IF(P$13="En Forme", "3x1", "0")))</f>
        <v>2x1</v>
      </c>
      <c r="S16" s="3">
        <f>IF(P$13="Fatigué", $C$9*0.78, IF(P$13="Normal", $C$9*0.83, IF(P$13="En Forme", $C$9*0.86, "0")))</f>
        <v>103.75</v>
      </c>
      <c r="V16" s="3" t="str">
        <f>IF(T$13="Fatigué", "3x1", IF(T$13="Normal", "3x1", IF(T$13="En Forme", "4x1", "0")))</f>
        <v>3x1</v>
      </c>
      <c r="W16" s="3">
        <f>IF(T$13="Fatigué", $C$9*0.9, IF(T$13="Normal", $C$9*0.95, IF(T$13="En Forme", $C$9*0.98, "0")))</f>
        <v>118.75</v>
      </c>
      <c r="X16" s="3" t="s">
        <v>31</v>
      </c>
      <c r="Y16" s="3" t="s">
        <v>16</v>
      </c>
    </row>
    <row r="17" spans="1:25" ht="27" customHeight="1" thickBot="1" x14ac:dyDescent="0.25">
      <c r="A17" s="10" t="s">
        <v>10</v>
      </c>
      <c r="B17" s="11"/>
      <c r="C17" s="2">
        <v>210</v>
      </c>
      <c r="D17" s="6"/>
      <c r="E17" s="15" t="s">
        <v>48</v>
      </c>
      <c r="F17" s="16"/>
      <c r="G17" s="16"/>
      <c r="J17" s="3" t="str">
        <f>IF(H$13="Fatigué", "2x3", IF(H$13="Normal", "2x3", IF(H$13="En Forme", "3x3", "0")))</f>
        <v>2x3</v>
      </c>
      <c r="K17" s="3">
        <f>IF(H$13="Fatigué", $C$9*0.9, IF(H$13="Normal", $C$9*0.95, IF(H$13="En Forme", $C$9*1, "0")))</f>
        <v>118.75</v>
      </c>
      <c r="N17" s="3" t="str">
        <f>IF(L$13="Fatigué", "2x3", IF(L$13="Normal", "2x3", IF(L$13="En Forme", "3x3", "0")))</f>
        <v>2x3</v>
      </c>
      <c r="O17" s="3">
        <f>IF(L$13="Fatigué", $C$9*0.92, IF(L$13="Normal", $C$9*0.97, IF(L$13="En Forme", $C$9*1.02, "0")))</f>
        <v>121.25</v>
      </c>
      <c r="R17" s="3" t="str">
        <f>IF(P$13="Fatigué", "1x3", IF(P$13="Normal", "1x3", IF(P$13="En Forme", "2x3", "0")))</f>
        <v>1x3</v>
      </c>
      <c r="S17" s="3">
        <f>IF(P$13="Fatigué", $C$9*0.83, IF(P$13="Normal", $C$9*0.88, IF(P$13="En Forme", $C$9*0.93, "0")))</f>
        <v>110</v>
      </c>
      <c r="V17" s="3" t="str">
        <f>IF(T$13="Fatigué", "2x3", IF(T$13="Normal", "2x3", IF(T$13="En Forme", "3x3", "0")))</f>
        <v>2x3</v>
      </c>
      <c r="W17" s="3">
        <f>IF(T$13="Fatigué", $C$9*0.95, IF(T$13="Normal", $C$9*1, IF(T$13="En Forme", $C$9*1.05, "0")))</f>
        <v>125</v>
      </c>
    </row>
    <row r="18" spans="1:25" ht="27" customHeight="1" thickBot="1" x14ac:dyDescent="0.25">
      <c r="C18" s="8"/>
      <c r="E18" s="15" t="s">
        <v>58</v>
      </c>
      <c r="F18" s="16"/>
      <c r="G18" s="16"/>
      <c r="J18" s="3" t="str">
        <f>IF(H$13="Fatigué", "3x5", IF(H$13="Normal", "4x5", IF(H$13="En Forme", "4x5", "0")))</f>
        <v>4x5</v>
      </c>
      <c r="K18" s="3">
        <f>IF(H$13="Fatigué", $C$19*0.65, IF(H$13="Normal", $C$19*0.7, IF(H$13="En Forme", $C$19*0.75, "0")))</f>
        <v>125.99999999999999</v>
      </c>
      <c r="N18" s="3" t="str">
        <f>IF(L$13="Fatigué", "3x5", IF(L$13="Normal", "4x5", IF(L$13="En Forme", "4x5", "0")))</f>
        <v>4x5</v>
      </c>
      <c r="O18" s="3">
        <f>IF(L$13="Fatigué", $C$19*0.67, IF(L$13="Normal", $C$19*0.72, IF(L$13="En Forme", $C$19*0.77, "0")))</f>
        <v>129.6</v>
      </c>
      <c r="R18" s="3" t="str">
        <f>IF(P$13="Fatigué", "2x5", IF(P$13="Normal", "3x5", IF(P$13="En Forme", "3x5", "0")))</f>
        <v>3x5</v>
      </c>
      <c r="S18" s="3">
        <f>IF(P$13="Fatigué", $C$19*0.58, IF(P$13="Normal", $C$19*0.63, IF(P$13="En Forme", $C$19*0.68, "0")))</f>
        <v>113.4</v>
      </c>
      <c r="V18" s="3" t="str">
        <f>IF(T$13="Fatigué", "3x5", IF(T$13="Normal", "4x5", IF(T$13="En Forme", "4x5", "0")))</f>
        <v>4x5</v>
      </c>
      <c r="W18" s="3">
        <f>IF(T$13="Fatigué", $C$19*0.7, IF(T$13="Normal", $C$19*0.75, IF(T$13="En Forme", $C$19*0.8, "0")))</f>
        <v>135</v>
      </c>
    </row>
    <row r="19" spans="1:25" ht="27" customHeight="1" thickBot="1" x14ac:dyDescent="0.25">
      <c r="A19" s="10" t="s">
        <v>11</v>
      </c>
      <c r="B19" s="11"/>
      <c r="C19" s="5">
        <v>180</v>
      </c>
      <c r="D19" s="6"/>
      <c r="E19" s="26" t="s">
        <v>41</v>
      </c>
      <c r="F19" s="27"/>
      <c r="G19" s="28"/>
      <c r="H19" s="20" t="s">
        <v>13</v>
      </c>
      <c r="I19" s="21"/>
      <c r="J19" s="7" t="s">
        <v>0</v>
      </c>
      <c r="K19" s="7" t="s">
        <v>1</v>
      </c>
      <c r="L19" s="20" t="s">
        <v>13</v>
      </c>
      <c r="M19" s="21"/>
      <c r="N19" s="7" t="s">
        <v>0</v>
      </c>
      <c r="O19" s="7" t="s">
        <v>1</v>
      </c>
      <c r="P19" s="20" t="s">
        <v>13</v>
      </c>
      <c r="Q19" s="21"/>
      <c r="R19" s="7" t="s">
        <v>0</v>
      </c>
      <c r="S19" s="7" t="s">
        <v>1</v>
      </c>
      <c r="T19" s="20" t="s">
        <v>13</v>
      </c>
      <c r="U19" s="21"/>
      <c r="V19" s="7" t="s">
        <v>0</v>
      </c>
      <c r="W19" s="7" t="s">
        <v>1</v>
      </c>
      <c r="X19" s="7" t="s">
        <v>14</v>
      </c>
      <c r="Y19" s="7" t="s">
        <v>0</v>
      </c>
    </row>
    <row r="20" spans="1:25" ht="27" customHeight="1" x14ac:dyDescent="0.2">
      <c r="E20" s="18" t="s">
        <v>10</v>
      </c>
      <c r="F20" s="19"/>
      <c r="G20" s="19"/>
      <c r="H20" s="18" t="s">
        <v>15</v>
      </c>
      <c r="I20" s="22"/>
      <c r="J20" s="3" t="str">
        <f>IF(H$20="Fatigué", "4x5", IF(H$20="Normal", "5x5", IF(H$20="En Forme", "5x5", "0")))</f>
        <v>5x5</v>
      </c>
      <c r="K20" s="3">
        <f>IF(H$20="Fatigué", $C$17*0.72, IF(H$20="Normal", $C$17*0.77, IF(H$20="En Forme", $C$17*0.8, "0")))</f>
        <v>161.70000000000002</v>
      </c>
      <c r="L20" s="18" t="s">
        <v>15</v>
      </c>
      <c r="M20" s="22"/>
      <c r="N20" s="3" t="str">
        <f>IF(L$20="Fatigué", "4x5", IF(L$20="Normal", "5x5", IF(L$20="En Forme", "5x5", "0")))</f>
        <v>5x5</v>
      </c>
      <c r="O20" s="3">
        <f>IF(L$20="Fatigué", $C$17*0.74, IF(L$20="Normal", $C$17*0.79, IF(L$20="En Forme", $C$17*0.82, "0")))</f>
        <v>165.9</v>
      </c>
      <c r="P20" s="18" t="s">
        <v>15</v>
      </c>
      <c r="Q20" s="22"/>
      <c r="R20" s="3" t="str">
        <f>IF(P$20="Fatigué", "2x5", IF(P$20="Normal", "3x5", IF(P$20="En Forme", "3x5", "0")))</f>
        <v>3x5</v>
      </c>
      <c r="S20" s="3">
        <f>IF(P$20="Fatigué", $C$17*0.65, IF(P$20="Normal", $C$17*0.7, IF(P$20="En Forme", $C$17*0.73, "0")))</f>
        <v>147</v>
      </c>
      <c r="T20" s="18" t="s">
        <v>15</v>
      </c>
      <c r="U20" s="22"/>
      <c r="V20" s="3" t="str">
        <f>IF(T$20="Fatigué", "4x5", IF(T$20="Normal", "5x5", IF(T$20="En Forme", "5x5", "0")))</f>
        <v>5x5</v>
      </c>
      <c r="W20" s="3">
        <f>IF(T$20="Fatigué", $C$17*0.77, IF(T$20="Normal", $C$17*0.82, IF(T$20="En Forme", $C$17*0.85, "0")))</f>
        <v>172.2</v>
      </c>
      <c r="X20" s="3" t="s">
        <v>27</v>
      </c>
      <c r="Y20" s="3" t="s">
        <v>17</v>
      </c>
    </row>
    <row r="21" spans="1:25" ht="27" customHeight="1" thickBot="1" x14ac:dyDescent="0.25">
      <c r="D21" s="13"/>
      <c r="E21" s="15" t="s">
        <v>47</v>
      </c>
      <c r="F21" s="16"/>
      <c r="G21" s="16"/>
      <c r="H21" s="23"/>
      <c r="I21" s="24"/>
      <c r="J21" s="3" t="str">
        <f>IF(H$20="Fatigué", "3x2", IF(H$20="Normal", "4x2", IF(H$20="En Forme", "4x2", "0")))</f>
        <v>4x2</v>
      </c>
      <c r="K21" s="3">
        <f>IF(H$20="Fatigué", $C$9*0.75, IF(H$20="Normal", $C$9*0.8, IF(H$20="En Forme", $C$9*0.85, "0")))</f>
        <v>100</v>
      </c>
      <c r="L21" s="23"/>
      <c r="M21" s="24"/>
      <c r="N21" s="3" t="str">
        <f>IF(L$20="Fatigué", "3x2", IF(L$20="Normal", "4x2", IF(L$20="En Forme", "4x2", "0")))</f>
        <v>4x2</v>
      </c>
      <c r="O21" s="3">
        <f>IF(L$20="Fatigué", $C$9*0.77, IF(L$20="Normal", $C$9*0.82, IF(L$20="En Forme", $C$9*0.87, "0")))</f>
        <v>102.5</v>
      </c>
      <c r="P21" s="23"/>
      <c r="Q21" s="24"/>
      <c r="R21" s="3" t="str">
        <f>IF(P$20="Fatigué", "2x2", IF(P$20="Normal", "3x2", IF(P$20="En Forme", "3x2", "0")))</f>
        <v>3x2</v>
      </c>
      <c r="S21" s="3">
        <f>IF(P$20="Fatigué", $C$9*0.68, IF(P$20="Normal", $C$9*0.73, IF(P$20="En Forme", $C$9*0.78, "0")))</f>
        <v>91.25</v>
      </c>
      <c r="T21" s="23"/>
      <c r="U21" s="24"/>
      <c r="V21" s="3" t="str">
        <f>IF(T$20="Fatigué", "3x2", IF(T$20="Normal", "4x2", IF(T$20="En Forme", "4x2", "0")))</f>
        <v>4x2</v>
      </c>
      <c r="W21" s="3">
        <f>IF(T$20="Fatigué", $C$9*0.8, IF(T$20="Normal", $C$9*0.85, IF(T$20="En Forme", $C$9*0.9, "0")))</f>
        <v>106.25</v>
      </c>
      <c r="X21" s="3" t="s">
        <v>33</v>
      </c>
      <c r="Y21" s="3" t="s">
        <v>34</v>
      </c>
    </row>
    <row r="22" spans="1:25" ht="27" customHeight="1" x14ac:dyDescent="0.2">
      <c r="E22" s="15" t="s">
        <v>48</v>
      </c>
      <c r="F22" s="16"/>
      <c r="G22" s="16"/>
      <c r="J22" s="3" t="str">
        <f>IF(H$20="Fatigué", "2x2", IF(H$20="Normal", "2x2", IF(H$20="En Forme", "2x2", "0")))</f>
        <v>2x2</v>
      </c>
      <c r="K22" s="3">
        <f>IF(H$20="Fatigué", $C$9*0.98, IF(H$20="Normal", $C$9*1.03, IF(H$20="En Forme", $C$9*1.06, "0")))</f>
        <v>128.75</v>
      </c>
      <c r="N22" s="3" t="str">
        <f>IF(L$20="Fatigué", "2x2", IF(L$20="Normal", "2x2", IF(L$20="En Forme", "2x2", "0")))</f>
        <v>2x2</v>
      </c>
      <c r="O22" s="3">
        <f>IF(L$20="Fatigué", $C$9*1, IF(L$20="Normal", $C$9*1.05, IF(L$20="En Forme", $C$9*1.08, "0")))</f>
        <v>131.25</v>
      </c>
      <c r="R22" s="3" t="str">
        <f>IF(P$20="Fatigué", "1x2", IF(P$20="Normal", "1x2", IF(P$20="En Forme", "1x2", "0")))</f>
        <v>1x2</v>
      </c>
      <c r="S22" s="3">
        <f>IF(P$20="Fatigué", $C$9*0.91, IF(P$20="Normal", $C$9*0.96, IF(P$20="En Forme", $C$9*0.99, "0")))</f>
        <v>120</v>
      </c>
      <c r="V22" s="3" t="str">
        <f>IF(T$20="Fatigué", "2x2", IF(T$20="Normal", "2x2", IF(T$20="En Forme", "2x2", "0")))</f>
        <v>2x2</v>
      </c>
      <c r="W22" s="3">
        <f>IF(T$20="Fatigué", $C$9*1.03, IF(T$20="Normal", $C$9*1.08, IF(T$20="En Forme", $C$9*1.11, "0")))</f>
        <v>135</v>
      </c>
      <c r="X22" s="3" t="s">
        <v>35</v>
      </c>
      <c r="Y22" s="3" t="s">
        <v>16</v>
      </c>
    </row>
    <row r="23" spans="1:25" ht="27" customHeight="1" x14ac:dyDescent="0.2">
      <c r="D23" s="13"/>
      <c r="E23" s="15" t="s">
        <v>49</v>
      </c>
      <c r="F23" s="16"/>
      <c r="G23" s="16"/>
      <c r="J23" s="3" t="str">
        <f>IF(H$20="Fatigué", "2x5", IF(H$20="Normal", "3x5", IF(H$20="En Forme", "3x5", "0")))</f>
        <v>3x5</v>
      </c>
      <c r="K23" s="3">
        <f>IF(H$20="Fatigué", $C$11*0.55, IF(H$20="Normal", $C$11*0.6, IF(H$20="En Forme", $C$11*0.65, "0")))</f>
        <v>93</v>
      </c>
      <c r="N23" s="3" t="str">
        <f>IF(L$20="Fatigué", "2x5", IF(L$20="Normal", "3x5", IF(L$20="En Forme", "3x5", "0")))</f>
        <v>3x5</v>
      </c>
      <c r="O23" s="3">
        <f>IF(L$20="Fatigué", $C$11*0.57, IF(L$20="Normal", $C$11*0.62, IF(L$20="En Forme", $C$11*0.67, "0")))</f>
        <v>96.1</v>
      </c>
      <c r="R23" s="3" t="str">
        <f>IF(P$20="Fatigué", "1x5", IF(P$20="Normal", "2x5", IF(P$20="En Forme", "2x5", "0")))</f>
        <v>2x5</v>
      </c>
      <c r="S23" s="3">
        <f>IF(P$20="Fatigué", $C$11*0.48, IF(P$20="Normal", $C$11*0.53, IF(P$20="En Forme", $C$11*0.58, "0")))</f>
        <v>82.15</v>
      </c>
      <c r="V23" s="3" t="str">
        <f>IF(T$20="Fatigué", "2x5", IF(T$20="Normal", "3x5", IF(T$20="En Forme", "3x5", "0")))</f>
        <v>3x5</v>
      </c>
      <c r="W23" s="3">
        <f>IF(T$20="Fatigué", $C$11*0.6, IF(T$20="Normal", $C$11*0.65, IF(T$20="En Forme", $C$11*0.7, "0")))</f>
        <v>100.75</v>
      </c>
      <c r="X23" s="3" t="s">
        <v>36</v>
      </c>
      <c r="Y23" s="3" t="s">
        <v>16</v>
      </c>
    </row>
    <row r="24" spans="1:25" ht="27" customHeight="1" x14ac:dyDescent="0.2">
      <c r="E24" s="15"/>
      <c r="F24" s="16"/>
      <c r="G24" s="16"/>
    </row>
    <row r="25" spans="1:25" ht="27" customHeight="1" thickBot="1" x14ac:dyDescent="0.25">
      <c r="E25" s="17"/>
      <c r="F25" s="17"/>
      <c r="G25" s="17"/>
      <c r="K25" s="4"/>
    </row>
    <row r="26" spans="1:25" ht="27" customHeight="1" thickBot="1" x14ac:dyDescent="0.25">
      <c r="E26" s="26" t="s">
        <v>40</v>
      </c>
      <c r="F26" s="27"/>
      <c r="G26" s="28"/>
      <c r="H26" s="20" t="s">
        <v>13</v>
      </c>
      <c r="I26" s="21"/>
      <c r="J26" s="7" t="s">
        <v>0</v>
      </c>
      <c r="K26" s="7" t="s">
        <v>1</v>
      </c>
      <c r="L26" s="20" t="s">
        <v>13</v>
      </c>
      <c r="M26" s="21"/>
      <c r="N26" s="7" t="s">
        <v>0</v>
      </c>
      <c r="O26" s="7" t="s">
        <v>1</v>
      </c>
      <c r="P26" s="20" t="s">
        <v>13</v>
      </c>
      <c r="Q26" s="21"/>
      <c r="R26" s="7" t="s">
        <v>0</v>
      </c>
      <c r="S26" s="7" t="s">
        <v>1</v>
      </c>
      <c r="T26" s="20" t="s">
        <v>13</v>
      </c>
      <c r="U26" s="21"/>
      <c r="V26" s="7" t="s">
        <v>0</v>
      </c>
      <c r="W26" s="7" t="s">
        <v>1</v>
      </c>
      <c r="X26" s="7" t="s">
        <v>14</v>
      </c>
      <c r="Y26" s="7" t="s">
        <v>0</v>
      </c>
    </row>
    <row r="27" spans="1:25" ht="27" customHeight="1" x14ac:dyDescent="0.2">
      <c r="E27" s="18" t="s">
        <v>50</v>
      </c>
      <c r="F27" s="19"/>
      <c r="G27" s="19"/>
      <c r="H27" s="18" t="s">
        <v>15</v>
      </c>
      <c r="I27" s="22"/>
      <c r="J27" s="3" t="str">
        <f>IF(H$27="Fatigué", "2x3", IF(H$27="Normal", "3x3", IF(H$27="En Forme", "3x3", "0")))</f>
        <v>3x3</v>
      </c>
      <c r="K27" s="3">
        <f>IF(H$27="Fatigué", $C$11*0.25, IF(H$27="Normal", $C$11*0.3, IF(H$27="En Forme", $C$11*0.35, "0")))</f>
        <v>46.5</v>
      </c>
      <c r="L27" s="18" t="s">
        <v>15</v>
      </c>
      <c r="M27" s="22"/>
      <c r="N27" s="3" t="str">
        <f>IF(L$27="Fatigué", "2x3", IF(L$27="Normal", "3x3", IF(L$27="En Forme", "3x3", "0")))</f>
        <v>3x3</v>
      </c>
      <c r="O27" s="3">
        <f>IF(L$27="Fatigué", $C$11*0.27, IF(L$27="Normal", $C$11*0.32, IF(L$27="En Forme", $C$11*0.37, "0")))</f>
        <v>49.6</v>
      </c>
      <c r="P27" s="18" t="s">
        <v>15</v>
      </c>
      <c r="Q27" s="22"/>
      <c r="R27" s="3" t="str">
        <f>IF(P$27="Fatigué", "1x3", IF(P$27="Normal", "2x3", IF(P$27="En Forme", "2x3", "0")))</f>
        <v>2x3</v>
      </c>
      <c r="S27" s="3">
        <f>IF(P$27="Fatigué", $C$11*0.2, IF(P$27="Normal", $C$11*0.25, IF(P$27="En Forme", $C$11*0.3, "0")))</f>
        <v>38.75</v>
      </c>
      <c r="T27" s="18" t="s">
        <v>15</v>
      </c>
      <c r="U27" s="22"/>
      <c r="V27" s="3" t="str">
        <f>IF(T$27="Fatigué", "2x3", IF(T$27="Normal", "3x3", IF(T$27="En Forme", "3x3", "0")))</f>
        <v>3x3</v>
      </c>
      <c r="W27" s="3">
        <f>IF(T$27="Fatigué", $C$11*0.3, IF(T$27="Normal", $C$11*0.35, IF(T$27="En Forme", $C$11*0.4, "0")))</f>
        <v>54.25</v>
      </c>
      <c r="X27" s="3" t="s">
        <v>28</v>
      </c>
      <c r="Y27" s="3" t="s">
        <v>16</v>
      </c>
    </row>
    <row r="28" spans="1:25" ht="27" customHeight="1" thickBot="1" x14ac:dyDescent="0.25">
      <c r="E28" s="15" t="s">
        <v>59</v>
      </c>
      <c r="F28" s="16"/>
      <c r="G28" s="16"/>
      <c r="H28" s="23"/>
      <c r="I28" s="24"/>
      <c r="J28" s="3" t="str">
        <f>IF(H$27="Fatigué", "2x2", IF(H$27="Normal", "3x2", IF(H$27="En Forme", "3x2", "0")))</f>
        <v>3x2</v>
      </c>
      <c r="K28" s="3">
        <f>IF(H$27="Fatigué", $C$11*0.57, IF(H$27="Normal", $C$11*0.62, IF(H$27="En Forme", $C$11*0.65, "0")))</f>
        <v>96.1</v>
      </c>
      <c r="L28" s="23"/>
      <c r="M28" s="24"/>
      <c r="N28" s="3" t="str">
        <f>IF(L$27="Fatigué", "2x2", IF(L$27="Normal", "3x2", IF(L$27="En Forme", "3x2", "0")))</f>
        <v>3x2</v>
      </c>
      <c r="O28" s="3">
        <f>IF(L$27="Fatigué", $C$11*0.59, IF(L$27="Normal", $C$11*0.64, IF(L$27="En Forme", $C$11*0.67, "0")))</f>
        <v>99.2</v>
      </c>
      <c r="P28" s="23"/>
      <c r="Q28" s="24"/>
      <c r="R28" s="3" t="str">
        <f>IF(P$27="Fatigué", "1x2", IF(P$27="Normal", "2x2", IF(P$27="En Forme", "2x2", "0")))</f>
        <v>2x2</v>
      </c>
      <c r="S28" s="3">
        <f>IF(P$27="Fatigué", $C$11*0.5, IF(P$27="Normal", $C$11*0.55, IF(P$27="En Forme", $C$11*0.58, "0")))</f>
        <v>85.25</v>
      </c>
      <c r="T28" s="23"/>
      <c r="U28" s="24"/>
      <c r="V28" s="3" t="str">
        <f>IF(T$27="Fatigué", "2x2", IF(T$27="Normal", "3x2", IF(T$27="En Forme", "3x2", "0")))</f>
        <v>3x2</v>
      </c>
      <c r="W28" s="3">
        <f>IF(T$27="Fatigué", $C$11*0.62, IF(T$27="Normal", $C$11*0.67, IF(T$27="En Forme", $C$11*0.7, "0")))</f>
        <v>103.85000000000001</v>
      </c>
      <c r="X28" s="3" t="s">
        <v>32</v>
      </c>
      <c r="Y28" s="3" t="s">
        <v>16</v>
      </c>
    </row>
    <row r="29" spans="1:25" ht="27" customHeight="1" x14ac:dyDescent="0.2">
      <c r="E29" s="15" t="s">
        <v>51</v>
      </c>
      <c r="F29" s="16"/>
      <c r="G29" s="16"/>
      <c r="J29" s="3" t="str">
        <f>IF(H$27="Fatigué", "2x3", IF(H$27="Normal", "3x3", IF(H$27="En Forme", "3x3", "0")))</f>
        <v>3x3</v>
      </c>
      <c r="K29" s="3">
        <f>IF(H$27="Fatigué", $C$15*0.72, IF(H$27="Normal", $C$15*0.77, IF(H$27="En Forme", $C$15*0.8, "0")))</f>
        <v>130.9</v>
      </c>
      <c r="N29" s="3" t="str">
        <f>IF(L$27="Fatigué", "2x3", IF(L$27="Normal", "3x3", IF(L$27="En Forme", "3x3", "0")))</f>
        <v>3x3</v>
      </c>
      <c r="O29" s="3">
        <f>IF(L$27="Fatigué", $C$15*0.74, IF(L$27="Normal", $C$15*0.79, IF(L$27="En Forme", $C$15*0.82, "0")))</f>
        <v>134.30000000000001</v>
      </c>
      <c r="R29" s="3" t="str">
        <f>IF(P$27="Fatigué", "1x3", IF(P$27="Normal", "2x3", IF(P$27="En Forme", "2x3", "0")))</f>
        <v>2x3</v>
      </c>
      <c r="S29" s="3">
        <f>IF(P$27="Fatigué", $C$15*0.65, IF(P$27="Normal", $C$15*0.7, IF(P$27="En Forme", $C$15*0.73, "0")))</f>
        <v>118.99999999999999</v>
      </c>
      <c r="V29" s="3" t="str">
        <f>IF(T$27="Fatigué", "2x3", IF(T$27="Normal", "3x3", IF(T$27="En Forme", "3x3", "0")))</f>
        <v>3x3</v>
      </c>
      <c r="W29" s="3">
        <f>IF(T$27="Fatigué", $C$15*0.77, IF(T$27="Normal", $C$15*0.82, IF(T$27="En Forme", $C$15*0.85, "0")))</f>
        <v>139.4</v>
      </c>
    </row>
    <row r="30" spans="1:25" ht="27" customHeight="1" x14ac:dyDescent="0.2">
      <c r="E30" s="15" t="s">
        <v>52</v>
      </c>
      <c r="F30" s="16"/>
      <c r="G30" s="16"/>
      <c r="J30" s="3" t="str">
        <f>IF(H$27="Fatigué", "2x3", IF(H$27="Normal", "3x3", IF(H$27="En Forme", "3x3", "0")))</f>
        <v>3x3</v>
      </c>
      <c r="K30" s="3">
        <f>IF(H$27="Fatigué", $C$9*0.52, IF(H$27="Normal", $C$9*0.57, IF(H$27="En Forme", $C$9*0.6, "0")))</f>
        <v>71.25</v>
      </c>
      <c r="N30" s="3" t="str">
        <f>IF(L$27="Fatigué", "2x3", IF(L$27="Normal", "3x3", IF(L$27="En Forme", "3x3", "0")))</f>
        <v>3x3</v>
      </c>
      <c r="O30" s="3">
        <f>IF(L$27="Fatigué", $C$9*0.54, IF(L$27="Normal", $C$9*0.59, IF(L$27="En Forme", $C$9*0.62, "0")))</f>
        <v>73.75</v>
      </c>
      <c r="R30" s="3" t="str">
        <f>IF(P$27="Fatigué", "1x3", IF(P$27="Normal", "2x3", IF(P$27="En Forme", "2x3", "0")))</f>
        <v>2x3</v>
      </c>
      <c r="S30" s="3">
        <f>IF(P$27="Fatigué", $C$9*0.45, IF(P$27="Normal", $C$9*0.5, IF(P$27="En Forme", $C$9*0.53, "0")))</f>
        <v>62.5</v>
      </c>
      <c r="V30" s="3" t="str">
        <f>IF(T$27="Fatigué", "2x3", IF(T$27="Normal", "3x3", IF(T$27="En Forme", "3x3", "0")))</f>
        <v>3x3</v>
      </c>
      <c r="W30" s="3">
        <f>IF(T$27="Fatigué", $C$9*0.57, IF(T$27="Normal", $C$9*0.62, IF(T$27="En Forme", $C$9*0.65, "0")))</f>
        <v>77.5</v>
      </c>
    </row>
    <row r="31" spans="1:25" ht="27" customHeight="1" x14ac:dyDescent="0.2">
      <c r="E31" s="15" t="s">
        <v>53</v>
      </c>
      <c r="F31" s="16"/>
      <c r="G31" s="16"/>
      <c r="J31" s="3" t="str">
        <f>IF(H$27="Fatigué", "3x2", IF(H$27="Normal", "3x2", IF(H$27="En Forme", "4x2", "0")))</f>
        <v>3x2</v>
      </c>
      <c r="K31" s="3">
        <f>IF(H$27="Fatigué", $C$9*0.7, IF(H$27="Normal", $C$9*0.75, IF(H$27="En Forme", $C$9*0.8, "0")))</f>
        <v>93.75</v>
      </c>
      <c r="N31" s="3" t="str">
        <f>IF(L$27="Fatigué", "3x2", IF(L$27="Normal", "3x2", IF(L$27="En Forme", "4x2", "0")))</f>
        <v>3x2</v>
      </c>
      <c r="O31" s="3">
        <f>IF(L$27="Fatigué", $C$9*0.72, IF(L$27="Normal", $C$9*0.77, IF(L$27="En Forme", $C$9*0.82, "0")))</f>
        <v>96.25</v>
      </c>
      <c r="R31" s="3" t="str">
        <f>IF(P$27="Fatigué", "2x2", IF(P$27="Normal", "2x2", IF(P$27="En Forme", "3x2", "0")))</f>
        <v>2x2</v>
      </c>
      <c r="S31" s="3">
        <f>IF(P$27="Fatigué", $C$9*0.63, IF(P$27="Normal", $C$9*0.68, IF(P$27="En Forme", $C$9*0.73, "0")))</f>
        <v>85</v>
      </c>
      <c r="V31" s="3" t="str">
        <f>IF(T$27="Fatigué", "3x2", IF(T$27="Normal", "3x2", IF(T$27="En Forme", "4x2", "0")))</f>
        <v>3x2</v>
      </c>
      <c r="W31" s="3">
        <f>IF(T$27="Fatigué", $C$9*0.75, IF(T$27="Normal", $C$9*0.8, IF(T$27="En Forme", $C$9*0.85, "0")))</f>
        <v>100</v>
      </c>
    </row>
    <row r="32" spans="1:25" ht="27" customHeight="1" x14ac:dyDescent="0.2">
      <c r="E32" s="15"/>
      <c r="F32" s="16"/>
      <c r="G32" s="16"/>
    </row>
    <row r="33" spans="5:25" ht="27" customHeight="1" thickBot="1" x14ac:dyDescent="0.25">
      <c r="E33" s="17"/>
      <c r="F33" s="17"/>
      <c r="G33" s="17"/>
      <c r="J33" s="1"/>
      <c r="K33" s="1"/>
      <c r="N33" s="1"/>
      <c r="O33" s="1"/>
      <c r="R33" s="1"/>
      <c r="S33" s="1"/>
      <c r="V33" s="1"/>
      <c r="W33" s="1"/>
    </row>
    <row r="34" spans="5:25" ht="27" customHeight="1" thickBot="1" x14ac:dyDescent="0.25">
      <c r="E34" s="26" t="s">
        <v>39</v>
      </c>
      <c r="F34" s="27"/>
      <c r="G34" s="28"/>
      <c r="H34" s="20" t="s">
        <v>13</v>
      </c>
      <c r="I34" s="21"/>
      <c r="J34" s="7" t="s">
        <v>0</v>
      </c>
      <c r="K34" s="7" t="s">
        <v>1</v>
      </c>
      <c r="L34" s="20" t="s">
        <v>13</v>
      </c>
      <c r="M34" s="21"/>
      <c r="N34" s="7" t="s">
        <v>0</v>
      </c>
      <c r="O34" s="7" t="s">
        <v>1</v>
      </c>
      <c r="P34" s="20" t="s">
        <v>13</v>
      </c>
      <c r="Q34" s="21"/>
      <c r="R34" s="7" t="s">
        <v>0</v>
      </c>
      <c r="S34" s="7" t="s">
        <v>1</v>
      </c>
      <c r="T34" s="20" t="s">
        <v>13</v>
      </c>
      <c r="U34" s="21"/>
      <c r="V34" s="7" t="s">
        <v>0</v>
      </c>
      <c r="W34" s="7" t="s">
        <v>1</v>
      </c>
      <c r="X34" s="7" t="s">
        <v>14</v>
      </c>
      <c r="Y34" s="7" t="s">
        <v>0</v>
      </c>
    </row>
    <row r="35" spans="5:25" ht="27" customHeight="1" x14ac:dyDescent="0.2">
      <c r="E35" s="18" t="s">
        <v>54</v>
      </c>
      <c r="F35" s="19"/>
      <c r="G35" s="22"/>
      <c r="H35" s="18" t="s">
        <v>15</v>
      </c>
      <c r="I35" s="22"/>
      <c r="J35" s="3" t="str">
        <f>IF(H$35="Fatigué", "2x2", IF(H$35="Normal", "3x2", IF(H$35="En Forme", "3x2", "0")))</f>
        <v>3x2</v>
      </c>
      <c r="K35" s="3">
        <f>IF(H$35="Fatigué", $C$9*0.77, IF(H$35="Normal", $C$9*0.82, IF(H$35="En Forme", $C$9*0.85, "0")))</f>
        <v>102.5</v>
      </c>
      <c r="L35" s="18" t="s">
        <v>15</v>
      </c>
      <c r="M35" s="22"/>
      <c r="N35" s="3" t="str">
        <f>IF(L$35="Fatigué", "2x2", IF(L$35="Normal", "3x2", IF(L$35="En Forme", "3x2", "0")))</f>
        <v>3x2</v>
      </c>
      <c r="O35" s="3">
        <f>IF(L$35="Fatigué", $C$9*0.79, IF(L$35="Normal", $C$9*0.84, IF(L$35="En Forme", $C$9*0.87, "0")))</f>
        <v>105</v>
      </c>
      <c r="P35" s="18" t="s">
        <v>15</v>
      </c>
      <c r="Q35" s="22"/>
      <c r="R35" s="3" t="str">
        <f>IF(P$35="Fatigué", "1x2", IF(P$35="Normal", "2x2", IF(P$35="En Forme", "2x2", "0")))</f>
        <v>2x2</v>
      </c>
      <c r="S35" s="3">
        <f>IF(P$35="Fatigué", $C$9*0.7, IF(P$35="Normal", $C$9*0.75, IF(P$35="En Forme", $C$9*0.78, "0")))</f>
        <v>93.75</v>
      </c>
      <c r="T35" s="18" t="s">
        <v>15</v>
      </c>
      <c r="U35" s="22"/>
      <c r="V35" s="3" t="str">
        <f>IF(T$35="Fatigué", "2x2", IF(T$35="Normal", "3x2", IF(T$35="En Forme", "3x2", "0")))</f>
        <v>3x2</v>
      </c>
      <c r="W35" s="3">
        <f>IF(T$35="Fatigué", $C$9*0.82, IF(T$35="Normal", $C$9*0.87, IF(T$35="En Forme", $C$9*0.9, "0")))</f>
        <v>108.75</v>
      </c>
      <c r="X35" s="3" t="s">
        <v>22</v>
      </c>
      <c r="Y35" s="3" t="s">
        <v>16</v>
      </c>
    </row>
    <row r="36" spans="5:25" ht="27" customHeight="1" thickBot="1" x14ac:dyDescent="0.25">
      <c r="E36" s="15" t="s">
        <v>54</v>
      </c>
      <c r="F36" s="16"/>
      <c r="G36" s="25"/>
      <c r="H36" s="23"/>
      <c r="I36" s="24"/>
      <c r="J36" s="3" t="str">
        <f>IF(H$27="Fatigué", "1x1", IF(H$27="Normal", "2x1", IF(H$27="En Forme", "2x1", "0")))</f>
        <v>2x1</v>
      </c>
      <c r="K36" s="3">
        <f>IF(H$27="Fatigué", $C$9*0.87, IF(H$27="Normal", $C$9*0.92, IF(H$27="En Forme", $C$9*0.95, "0")))</f>
        <v>115</v>
      </c>
      <c r="L36" s="23"/>
      <c r="M36" s="24"/>
      <c r="N36" s="3" t="str">
        <f>IF(L$27="Fatigué", "1x1", IF(L$27="Normal", "2x1", IF(L$27="En Forme", "2x1", "0")))</f>
        <v>2x1</v>
      </c>
      <c r="O36" s="3">
        <f>IF(L$27="Fatigué", $C$9*0.89, IF(L$27="Normal", $C$9*0.94, IF(L$27="En Forme", $C$9*0.97, "0")))</f>
        <v>117.5</v>
      </c>
      <c r="P36" s="23"/>
      <c r="Q36" s="24"/>
      <c r="R36" s="3" t="str">
        <f>IF(P$27="Fatigué", "1x1", IF(P$27="Normal", "1x1", IF(P$27="En Forme", "1x1", "0")))</f>
        <v>1x1</v>
      </c>
      <c r="S36" s="3">
        <f>IF(P$27="Fatigué", $C$9*0.8, IF(P$27="Normal", $C$9*0.85, IF(P$27="En Forme", $C$9*0.88, "0")))</f>
        <v>106.25</v>
      </c>
      <c r="T36" s="23"/>
      <c r="U36" s="24"/>
      <c r="V36" s="3" t="str">
        <f>IF(T$27="Fatigué", "1x1", IF(T$27="Normal", "2x1", IF(T$27="En Forme", "2x1", "0")))</f>
        <v>2x1</v>
      </c>
      <c r="W36" s="3">
        <f>IF(T$27="Fatigué", $C$9*0.92, IF(T$27="Normal", $C$9*0.97, IF(T$27="En Forme", $C$9*1, "0")))</f>
        <v>121.25</v>
      </c>
      <c r="X36" s="3" t="s">
        <v>23</v>
      </c>
      <c r="Y36" s="3" t="s">
        <v>17</v>
      </c>
    </row>
    <row r="37" spans="5:25" ht="27" customHeight="1" x14ac:dyDescent="0.2">
      <c r="E37" s="15" t="s">
        <v>21</v>
      </c>
      <c r="F37" s="16"/>
      <c r="G37" s="16"/>
      <c r="J37" s="3" t="str">
        <f>IF(H$27="Fatigué", "2x2", IF(H$27="Normal", "3x2", IF(H$27="En Forme", "3x2", "0")))</f>
        <v>3x2</v>
      </c>
      <c r="K37" s="3">
        <f>IF(H$27="Fatigué", $C$11*0.8, IF(H$27="Normal", $C$11*0.85, IF(H$27="En Forme", $C$11*0.88, "0")))</f>
        <v>131.75</v>
      </c>
      <c r="N37" s="3" t="str">
        <f>IF(L$27="Fatigué", "2x2", IF(L$27="Normal", "3x2", IF(L$27="En Forme", "3x2", "0")))</f>
        <v>3x2</v>
      </c>
      <c r="O37" s="3">
        <f>IF(L$27="Fatigué", $C$11*0.82, IF(L$27="Normal", $C$11*0.87, IF(L$27="En Forme", $C$11*0.9, "0")))</f>
        <v>134.85</v>
      </c>
      <c r="R37" s="3" t="str">
        <f>IF(P$27="Fatigué", "1x2", IF(P$27="Normal", "2x2", IF(P$27="En Forme", "2x2", "0")))</f>
        <v>2x2</v>
      </c>
      <c r="S37" s="3">
        <f>IF(P$27="Fatigué", $C$11*0.73, IF(P$27="Normal", $C$11*0.78, IF(P$27="En Forme", $C$11*0.81, "0")))</f>
        <v>120.9</v>
      </c>
      <c r="V37" s="3" t="str">
        <f>IF(T$27="Fatigué", "2x2", IF(T$27="Normal", "3x2", IF(T$27="En Forme", "3x2", "0")))</f>
        <v>3x2</v>
      </c>
      <c r="W37" s="3">
        <f>IF(T$27="Fatigué", $C$11*0.85, IF(T$27="Normal", $C$11*0.9, IF(T$27="En Forme", $C$11*0.93, "0")))</f>
        <v>139.5</v>
      </c>
      <c r="X37" s="3" t="s">
        <v>24</v>
      </c>
      <c r="Y37" s="3" t="s">
        <v>16</v>
      </c>
    </row>
    <row r="38" spans="5:25" ht="27" customHeight="1" x14ac:dyDescent="0.2">
      <c r="E38" s="15" t="s">
        <v>21</v>
      </c>
      <c r="F38" s="16"/>
      <c r="G38" s="16"/>
      <c r="J38" s="3" t="str">
        <f>IF(H$27="Fatigué", "2x1", IF(H$27="Normal", "3x1", IF(H$27="En Forme", "3x1", "0")))</f>
        <v>3x1</v>
      </c>
      <c r="K38" s="3">
        <f>IF(H$27="Fatigué", $C$11*0.85, IF(H$27="Normal", $C$11*0.9, IF(H$27="En Forme", $C$11*0.93, "0")))</f>
        <v>139.5</v>
      </c>
      <c r="N38" s="3" t="str">
        <f>IF(L$27="Fatigué", "2x1", IF(L$27="Normal", "3x1", IF(L$27="En Forme", "3x1", "0")))</f>
        <v>3x1</v>
      </c>
      <c r="O38" s="3">
        <f>IF(L$27="Fatigué", $C$11*0.87, IF(L$27="Normal", $C$11*0.92, IF(L$27="En Forme", $C$11*0.95, "0")))</f>
        <v>142.6</v>
      </c>
      <c r="R38" s="3" t="str">
        <f>IF(P$27="Fatigué", "1x1", IF(P$27="Normal", "2x1", IF(P$27="En Forme", "2x1", "0")))</f>
        <v>2x1</v>
      </c>
      <c r="S38" s="3">
        <f>IF(P$27="Fatigué", $C$11*0.78, IF(P$27="Normal", $C$11*0.83, IF(P$27="En Forme", $C$11*0.86, "0")))</f>
        <v>128.65</v>
      </c>
      <c r="V38" s="3" t="str">
        <f>IF(T$27="Fatigué", "2x1", IF(T$27="Normal", "3x1", IF(T$27="En Forme", "3x1", "0")))</f>
        <v>3x1</v>
      </c>
      <c r="W38" s="3">
        <f>IF(T$27="Fatigué", $C$11*0.9, IF(T$27="Normal", $C$11*0.95, IF(T$27="En Forme", $C$11*0.98, "0")))</f>
        <v>147.25</v>
      </c>
    </row>
    <row r="39" spans="5:25" ht="27" customHeight="1" x14ac:dyDescent="0.2">
      <c r="E39" s="15" t="s">
        <v>60</v>
      </c>
      <c r="F39" s="16"/>
      <c r="G39" s="16"/>
      <c r="J39" s="3" t="str">
        <f>IF(H$27="Fatigué", "2x10", IF(H$27="Normal", "3x10", IF(H$27="En Forme", "3x10", "0")))</f>
        <v>3x10</v>
      </c>
      <c r="K39" s="3">
        <f>IF(H$27="Fatigué", $C$19*0.4, IF(H$27="Normal", $C$19*0.45, IF(H$27="En Forme", $C$19*0.5, "0")))</f>
        <v>81</v>
      </c>
      <c r="N39" s="3" t="str">
        <f>IF(L$27="Fatigué", "2x10", IF(L$27="Normal", "3x10", IF(L$27="En Forme", "3x10", "0")))</f>
        <v>3x10</v>
      </c>
      <c r="O39" s="3">
        <f>IF(L$27="Fatigué", $C$19*0.42, IF(L$27="Normal", $C$19*0.47, IF(L$27="En Forme", $C$19*0.52, "0")))</f>
        <v>84.6</v>
      </c>
      <c r="R39" s="3" t="str">
        <f>IF(P$27="Fatigué", "1x10", IF(P$27="Normal", "2x10", IF(P$27="En Forme", "2x10", "0")))</f>
        <v>2x10</v>
      </c>
      <c r="S39" s="3">
        <f>IF(P$27="Fatigué", $C$19*0.33, IF(P$27="Normal", $C$19*0.38, IF(P$27="En Forme", $C$19*0.43, "0")))</f>
        <v>68.400000000000006</v>
      </c>
      <c r="V39" s="3" t="str">
        <f>IF(T$27="Fatigué", "2x10", IF(T$27="Normal", "3x10", IF(T$27="En Forme", "3x10", "0")))</f>
        <v>3x10</v>
      </c>
      <c r="W39" s="3">
        <f>IF(T$27="Fatigué", $C$19*0.45, IF(T$27="Normal", $C$19*0.5, IF(T$27="En Forme", $C$19*0.55, "0")))</f>
        <v>90</v>
      </c>
    </row>
    <row r="40" spans="5:25" ht="27" customHeight="1" x14ac:dyDescent="0.2">
      <c r="E40" s="15"/>
      <c r="F40" s="16"/>
      <c r="G40" s="16"/>
      <c r="K40" s="4"/>
    </row>
    <row r="41" spans="5:25" ht="27" customHeight="1" x14ac:dyDescent="0.2">
      <c r="E41" s="15"/>
      <c r="F41" s="16"/>
      <c r="G41" s="16"/>
      <c r="J41" s="1"/>
      <c r="K41" s="1"/>
      <c r="N41" s="1"/>
      <c r="O41" s="1"/>
      <c r="R41" s="1"/>
      <c r="S41" s="1"/>
      <c r="V41" s="1"/>
      <c r="W41" s="1"/>
    </row>
  </sheetData>
  <mergeCells count="85">
    <mergeCell ref="E40:G40"/>
    <mergeCell ref="E41:G41"/>
    <mergeCell ref="P5:Q5"/>
    <mergeCell ref="T5:U5"/>
    <mergeCell ref="V4:W4"/>
    <mergeCell ref="E11:G11"/>
    <mergeCell ref="E12:G12"/>
    <mergeCell ref="H12:I12"/>
    <mergeCell ref="L12:M12"/>
    <mergeCell ref="E5:G5"/>
    <mergeCell ref="H5:I5"/>
    <mergeCell ref="L5:M5"/>
    <mergeCell ref="E10:G10"/>
    <mergeCell ref="E8:G8"/>
    <mergeCell ref="E9:G9"/>
    <mergeCell ref="T13:U14"/>
    <mergeCell ref="A1:C2"/>
    <mergeCell ref="A3:B3"/>
    <mergeCell ref="J4:K4"/>
    <mergeCell ref="N4:O4"/>
    <mergeCell ref="R4:S4"/>
    <mergeCell ref="A6:C6"/>
    <mergeCell ref="E7:G7"/>
    <mergeCell ref="H6:I7"/>
    <mergeCell ref="L6:M7"/>
    <mergeCell ref="T6:U7"/>
    <mergeCell ref="A7:C7"/>
    <mergeCell ref="P6:Q7"/>
    <mergeCell ref="E6:G6"/>
    <mergeCell ref="P12:Q12"/>
    <mergeCell ref="E13:G13"/>
    <mergeCell ref="H13:I14"/>
    <mergeCell ref="L13:M14"/>
    <mergeCell ref="P13:Q14"/>
    <mergeCell ref="T12:U12"/>
    <mergeCell ref="L20:M21"/>
    <mergeCell ref="P20:Q21"/>
    <mergeCell ref="T20:U21"/>
    <mergeCell ref="E21:G21"/>
    <mergeCell ref="E18:G18"/>
    <mergeCell ref="E19:G19"/>
    <mergeCell ref="L19:M19"/>
    <mergeCell ref="P19:Q19"/>
    <mergeCell ref="T19:U19"/>
    <mergeCell ref="H19:I19"/>
    <mergeCell ref="E17:G17"/>
    <mergeCell ref="E15:G15"/>
    <mergeCell ref="H20:I21"/>
    <mergeCell ref="E14:G14"/>
    <mergeCell ref="E16:G16"/>
    <mergeCell ref="L26:M26"/>
    <mergeCell ref="P26:Q26"/>
    <mergeCell ref="T26:U26"/>
    <mergeCell ref="E27:G27"/>
    <mergeCell ref="H27:I28"/>
    <mergeCell ref="L27:M28"/>
    <mergeCell ref="P27:Q28"/>
    <mergeCell ref="T27:U28"/>
    <mergeCell ref="E28:G28"/>
    <mergeCell ref="H26:I26"/>
    <mergeCell ref="E26:G26"/>
    <mergeCell ref="E39:G39"/>
    <mergeCell ref="L34:M34"/>
    <mergeCell ref="P34:Q34"/>
    <mergeCell ref="T34:U34"/>
    <mergeCell ref="E35:G35"/>
    <mergeCell ref="H35:I36"/>
    <mergeCell ref="L35:M36"/>
    <mergeCell ref="P35:Q36"/>
    <mergeCell ref="T35:U36"/>
    <mergeCell ref="E36:G36"/>
    <mergeCell ref="E34:G34"/>
    <mergeCell ref="H34:I34"/>
    <mergeCell ref="E37:G37"/>
    <mergeCell ref="E38:G38"/>
    <mergeCell ref="E29:G29"/>
    <mergeCell ref="E30:G30"/>
    <mergeCell ref="E31:G31"/>
    <mergeCell ref="E32:G32"/>
    <mergeCell ref="E33:G33"/>
    <mergeCell ref="E22:G22"/>
    <mergeCell ref="E23:G23"/>
    <mergeCell ref="E24:G24"/>
    <mergeCell ref="E25:G25"/>
    <mergeCell ref="E20:G20"/>
  </mergeCells>
  <dataValidations count="1">
    <dataValidation type="list" allowBlank="1" showInputMessage="1" showErrorMessage="1" sqref="H6:I7 H13:I14 H20:I21 H27:I28 T13:U14 L6:M7 L13:M14 L20:M21 L27:M28 T20:U21 P6:Q7 P13:Q14 P20:Q21 P27:Q28 T27:U28 T6:U7 H35:I36 L35:M36 P35:Q36 T35:U36" xr:uid="{2D2BB737-ECA8-B845-830B-13B591D5CA93}">
      <formula1>"Fatigué, Normal, En Forme"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4093A5-A278-3F41-B32B-2BDD527EB03E}">
  <dimension ref="A1:Y41"/>
  <sheetViews>
    <sheetView topLeftCell="D1" zoomScale="75" workbookViewId="0">
      <selection activeCell="E6" sqref="E6:G6"/>
    </sheetView>
  </sheetViews>
  <sheetFormatPr baseColWidth="10" defaultColWidth="17.83203125" defaultRowHeight="27" customHeight="1" x14ac:dyDescent="0.2"/>
  <cols>
    <col min="1" max="2" width="17.83203125" style="1"/>
    <col min="3" max="3" width="17.83203125" style="2"/>
    <col min="4" max="4" width="22.5" style="3" customWidth="1"/>
    <col min="5" max="5" width="17.83203125" style="3"/>
    <col min="6" max="6" width="17.83203125" style="4"/>
    <col min="7" max="7" width="18.1640625" style="3" customWidth="1"/>
    <col min="8" max="9" width="10.1640625" style="3" customWidth="1"/>
    <col min="10" max="11" width="17.83203125" style="3"/>
    <col min="12" max="13" width="10.1640625" style="3" customWidth="1"/>
    <col min="14" max="15" width="17.83203125" style="3"/>
    <col min="16" max="17" width="10.1640625" style="3" customWidth="1"/>
    <col min="18" max="19" width="17.83203125" style="3"/>
    <col min="20" max="21" width="10.1640625" style="3" customWidth="1"/>
    <col min="22" max="16384" width="17.83203125" style="3"/>
  </cols>
  <sheetData>
    <row r="1" spans="1:25" ht="27" customHeight="1" x14ac:dyDescent="0.2">
      <c r="A1" s="30" t="s">
        <v>42</v>
      </c>
      <c r="B1" s="30"/>
      <c r="C1" s="30"/>
    </row>
    <row r="2" spans="1:25" ht="27" customHeight="1" x14ac:dyDescent="0.2">
      <c r="A2" s="30"/>
      <c r="B2" s="30"/>
      <c r="C2" s="30"/>
    </row>
    <row r="3" spans="1:25" ht="27" customHeight="1" thickBot="1" x14ac:dyDescent="0.25">
      <c r="A3" s="29"/>
      <c r="B3" s="29"/>
      <c r="F3" s="3"/>
      <c r="I3" s="4"/>
      <c r="J3" s="14">
        <f>DATE(2025, 4, 6)</f>
        <v>45753</v>
      </c>
      <c r="K3" s="14">
        <f>J3+6</f>
        <v>45759</v>
      </c>
      <c r="N3" s="14">
        <f>J3+7</f>
        <v>45760</v>
      </c>
      <c r="O3" s="14">
        <f>K3+7</f>
        <v>45766</v>
      </c>
      <c r="R3" s="14">
        <f>N3+7</f>
        <v>45767</v>
      </c>
      <c r="S3" s="14">
        <f>O3+7</f>
        <v>45773</v>
      </c>
      <c r="V3" s="14">
        <f>R3+7</f>
        <v>45774</v>
      </c>
      <c r="W3" s="14">
        <f>S3+7</f>
        <v>45780</v>
      </c>
    </row>
    <row r="4" spans="1:25" ht="27" customHeight="1" thickBot="1" x14ac:dyDescent="0.25">
      <c r="F4" s="3"/>
      <c r="J4" s="31" t="s">
        <v>2</v>
      </c>
      <c r="K4" s="32"/>
      <c r="N4" s="31" t="s">
        <v>3</v>
      </c>
      <c r="O4" s="32"/>
      <c r="R4" s="31" t="s">
        <v>4</v>
      </c>
      <c r="S4" s="32"/>
      <c r="V4" s="31" t="s">
        <v>5</v>
      </c>
      <c r="W4" s="32"/>
    </row>
    <row r="5" spans="1:25" ht="27" customHeight="1" thickBot="1" x14ac:dyDescent="0.25">
      <c r="E5" s="26" t="s">
        <v>37</v>
      </c>
      <c r="F5" s="27"/>
      <c r="G5" s="28"/>
      <c r="H5" s="20" t="s">
        <v>13</v>
      </c>
      <c r="I5" s="21"/>
      <c r="J5" s="7" t="s">
        <v>0</v>
      </c>
      <c r="K5" s="7" t="s">
        <v>1</v>
      </c>
      <c r="L5" s="20" t="s">
        <v>13</v>
      </c>
      <c r="M5" s="21"/>
      <c r="N5" s="7" t="s">
        <v>0</v>
      </c>
      <c r="O5" s="7" t="s">
        <v>1</v>
      </c>
      <c r="P5" s="20" t="s">
        <v>13</v>
      </c>
      <c r="Q5" s="21"/>
      <c r="R5" s="7" t="s">
        <v>0</v>
      </c>
      <c r="S5" s="7" t="s">
        <v>1</v>
      </c>
      <c r="T5" s="20" t="s">
        <v>13</v>
      </c>
      <c r="U5" s="21"/>
      <c r="V5" s="7" t="s">
        <v>0</v>
      </c>
      <c r="W5" s="7" t="s">
        <v>1</v>
      </c>
      <c r="X5" s="7" t="s">
        <v>14</v>
      </c>
      <c r="Y5" s="7" t="s">
        <v>0</v>
      </c>
    </row>
    <row r="6" spans="1:25" ht="27" customHeight="1" x14ac:dyDescent="0.2">
      <c r="A6" s="29" t="s">
        <v>12</v>
      </c>
      <c r="B6" s="29"/>
      <c r="C6" s="29"/>
      <c r="E6" s="15" t="s">
        <v>55</v>
      </c>
      <c r="F6" s="16"/>
      <c r="G6" s="16"/>
      <c r="H6" s="18" t="s">
        <v>15</v>
      </c>
      <c r="I6" s="22"/>
      <c r="J6" s="3" t="str">
        <f>IF(H$6="Fatigué", "2x[3+2]", IF(H$6="Normal", "3x[3+2]", IF(H$6="En Forme", "3x[3+2]", "0")))</f>
        <v>3x[3+2]</v>
      </c>
      <c r="K6" s="3">
        <f>IF(H$6="Fatigué", $C$11*0.45, IF(H$6="Normal", $C$11*0.5, IF(H$6="En Forme", $C$11*0.55, "0")))</f>
        <v>77.5</v>
      </c>
      <c r="L6" s="18" t="s">
        <v>15</v>
      </c>
      <c r="M6" s="22"/>
      <c r="N6" s="3" t="str">
        <f>IF(L$6="Fatigué", "2x[3+2]", IF(L$6="Normal", "3x[3+2]", IF(L$6="En Forme", "3x[3+2]", "0")))</f>
        <v>3x[3+2]</v>
      </c>
      <c r="O6" s="3">
        <f>IF(L$6="Fatigué", $C$11*0.47, IF(L$6="Normal", $C$11*0.52, IF(L$6="En Forme", $C$11*0.57, "0")))</f>
        <v>80.600000000000009</v>
      </c>
      <c r="P6" s="18" t="s">
        <v>15</v>
      </c>
      <c r="Q6" s="22"/>
      <c r="R6" s="3" t="str">
        <f>IF(P$6="Fatigué", "2x[3+2]", IF(P$6="Normal", "2x[3+2]", IF(P$6="En Forme", "2x[3+2]", "0")))</f>
        <v>2x[3+2]</v>
      </c>
      <c r="S6" s="3">
        <f>IF(P$6="Fatigué", $C$11*0.38, IF(P$6="Normal", $C$11*0.43, IF(P$6="En Forme", $C$11*0.46, "0")))</f>
        <v>66.650000000000006</v>
      </c>
      <c r="T6" s="18" t="s">
        <v>15</v>
      </c>
      <c r="U6" s="22"/>
      <c r="V6" s="3" t="str">
        <f>IF(T$6="Fatigué", "2x[3+2]", IF(T$6="Normal", "3x[3+2]", IF(T$6="En Forme", "3x[3+2]", "0")))</f>
        <v>3x[3+2]</v>
      </c>
      <c r="W6" s="3">
        <f>IF(T$6="Fatigué", $C$11*0.5, IF(T$6="Normal", $C$11*0.55, IF(T$6="En Forme", $C$11*0.6, "0")))</f>
        <v>85.25</v>
      </c>
      <c r="X6" s="3" t="s">
        <v>19</v>
      </c>
      <c r="Y6" s="3" t="s">
        <v>20</v>
      </c>
    </row>
    <row r="7" spans="1:25" ht="27" customHeight="1" thickBot="1" x14ac:dyDescent="0.25">
      <c r="A7" s="29"/>
      <c r="B7" s="29"/>
      <c r="C7" s="29"/>
      <c r="E7" s="15" t="s">
        <v>56</v>
      </c>
      <c r="F7" s="16"/>
      <c r="G7" s="16"/>
      <c r="H7" s="23"/>
      <c r="I7" s="24"/>
      <c r="J7" s="3" t="str">
        <f>IF(H$6="Fatigué", "4x[2+1]", IF(H$6="Normal", "5x[2+1]", IF(H$6="En Forme", "5x[2+1]", "0")))</f>
        <v>5x[2+1]</v>
      </c>
      <c r="K7" s="3">
        <f>IF(H$6="Fatigué", $C$13*0.72, IF(H$6="Normal", $C$13*0.77, IF(H$6="En Forme", $C$13*0.8, "0")))</f>
        <v>123.2</v>
      </c>
      <c r="L7" s="23"/>
      <c r="M7" s="24"/>
      <c r="N7" s="3" t="str">
        <f>IF(L$6="Fatigué", "4x[2+1]", IF(L$6="Normal", "5x[2+1]", IF(L$6="En Forme", "5x[2+1]", "0")))</f>
        <v>5x[2+1]</v>
      </c>
      <c r="O7" s="3">
        <f>IF(L$6="Fatigué", $C$13*0.74, IF(L$6="Normal", $C$13*0.79, IF(L$6="En Forme", $C$13*0.82, "0")))</f>
        <v>126.4</v>
      </c>
      <c r="P7" s="23"/>
      <c r="Q7" s="24"/>
      <c r="R7" s="3" t="str">
        <f>IF(P$6="Fatigué", "2x[2+1]", IF(P$6="Normal", "3x[2+1]", IF(P$6="En Forme", "3x[2+1]", "0")))</f>
        <v>3x[2+1]</v>
      </c>
      <c r="S7" s="3">
        <f>IF(P$6="Fatigué", $C$13*0.65, IF(P$6="Normal", $C$13*0.7, IF(P$6="En Forme", $C$13*0.73, "0")))</f>
        <v>112</v>
      </c>
      <c r="T7" s="23"/>
      <c r="U7" s="24"/>
      <c r="V7" s="3" t="str">
        <f>IF(T$6="Fatigué", "4x[2+1]", IF(T$6="Normal", "5x[2+1]", IF(T$6="En Forme", "5x[2+1]", "0")))</f>
        <v>5x[2+1]</v>
      </c>
      <c r="W7" s="3">
        <f>IF(T$6="Fatigué", $C$13*0.77, IF(T$6="Normal", $C$13*0.82, IF(T$6="En Forme", $C$13*0.85, "0")))</f>
        <v>131.19999999999999</v>
      </c>
      <c r="X7" s="3" t="s">
        <v>28</v>
      </c>
      <c r="Y7" s="3" t="s">
        <v>16</v>
      </c>
    </row>
    <row r="8" spans="1:25" ht="27" customHeight="1" thickBot="1" x14ac:dyDescent="0.25">
      <c r="E8" s="15" t="s">
        <v>43</v>
      </c>
      <c r="F8" s="16"/>
      <c r="G8" s="16"/>
      <c r="J8" s="3" t="str">
        <f>IF(H$6="Fatigué", "2x3", IF(H$6="Normal", "3x3", IF(H$6="En Forme", "3x3", "0")))</f>
        <v>3x3</v>
      </c>
      <c r="K8" s="3">
        <f>IF(H$6="Fatigué", $C$13*1, IF(H$6="Normal", $C$13*1.05, IF(H$6="En Forme", $C$13*1.1, "0")))</f>
        <v>168</v>
      </c>
      <c r="N8" s="3" t="str">
        <f>IF(L$6="Fatigué", "2x3", IF(L$6="Normal", "3x3", IF(L$6="En Forme", "3x3", "0")))</f>
        <v>3x3</v>
      </c>
      <c r="O8" s="3">
        <f>IF(L$6="Fatigué", $C$13*1.02, IF(L$6="Normal", $C$13*1.07, IF(L$6="En Forme", $C$13*1.12, "0")))</f>
        <v>171.20000000000002</v>
      </c>
      <c r="R8" s="3" t="str">
        <f>IF(P$6="Fatigué", "1x3", IF(P$6="Normal", "2x3", IF(P$6="En Forme", "2x3", "0")))</f>
        <v>2x3</v>
      </c>
      <c r="S8" s="3">
        <f>IF(P$6="Fatigué", $C$13*0.93, IF(P$6="Normal", $C$13*0.98, IF(P$6="En Forme", $C$13*1.03, "0")))</f>
        <v>156.80000000000001</v>
      </c>
      <c r="V8" s="3" t="str">
        <f>IF(T$6="Fatigué", "2x3", IF(T$6="Normal", "3x3", IF(T$6="En Forme", "3x3", "0")))</f>
        <v>3x3</v>
      </c>
      <c r="W8" s="3">
        <f>IF(T$6="Fatigué", $C$13*1.05, IF(T$6="Normal", $C$13*1.1, IF(T$6="En Forme", $C$13*1.15, "0")))</f>
        <v>176</v>
      </c>
      <c r="X8" s="3" t="s">
        <v>29</v>
      </c>
      <c r="Y8" s="3" t="s">
        <v>30</v>
      </c>
    </row>
    <row r="9" spans="1:25" ht="27" customHeight="1" thickBot="1" x14ac:dyDescent="0.25">
      <c r="A9" s="10" t="s">
        <v>6</v>
      </c>
      <c r="B9" s="11"/>
      <c r="C9" s="5">
        <v>125</v>
      </c>
      <c r="D9" s="6"/>
      <c r="E9" s="15" t="s">
        <v>44</v>
      </c>
      <c r="F9" s="16"/>
      <c r="G9" s="16"/>
      <c r="J9" s="3" t="str">
        <f>IF(H$6="Fatigué", "3x2", IF(H$6="Normal", "3x2", IF(H$6="En Forme", "4x2", "0")))</f>
        <v>3x2</v>
      </c>
      <c r="K9" s="3">
        <f>IF(H$6="Fatigué", $C$9*0.72, IF(H$6="Normal", $C$9*0.77, IF(H$6="En Forme", $C$9*0.8, "0")))</f>
        <v>96.25</v>
      </c>
      <c r="N9" s="3" t="str">
        <f>IF(L$6="Fatigué", "3x2", IF(L$6="Normal", "3x2", IF(L$6="En Forme", "4x2", "0")))</f>
        <v>3x2</v>
      </c>
      <c r="O9" s="3">
        <f>IF(L$6="Fatigué", $C$9*0.74, IF(L$6="Normal", $C$9*0.79, IF(L$6="En Forme", $C$9*0.82, "0")))</f>
        <v>98.75</v>
      </c>
      <c r="R9" s="3" t="str">
        <f>IF(P$6="Fatigué", "2x2", IF(P$6="Normal", "2x2", IF(P$6="En Forme", "3x2", "0")))</f>
        <v>2x2</v>
      </c>
      <c r="S9" s="3">
        <f>IF(P$6="Fatigué", $C$9*0.65, IF(P$6="Normal", $C$9*0.7, IF(P$6="En Forme", $C$9*0.73, "0")))</f>
        <v>87.5</v>
      </c>
      <c r="V9" s="3" t="str">
        <f>IF(T$6="Fatigué", "3x2", IF(T$6="Normal", "3x2", IF(T$6="En Forme", "4x2", "0")))</f>
        <v>3x2</v>
      </c>
      <c r="W9" s="3">
        <f>IF(T$6="Fatigué", $C$9*0.77, IF(T$6="Normal", $C$9*0.82, IF(T$6="En Forme", $C$9*0.85, "0")))</f>
        <v>102.5</v>
      </c>
    </row>
    <row r="10" spans="1:25" ht="27" customHeight="1" thickBot="1" x14ac:dyDescent="0.25">
      <c r="E10" s="15" t="s">
        <v>10</v>
      </c>
      <c r="F10" s="16"/>
      <c r="G10" s="16"/>
      <c r="J10" s="3" t="str">
        <f>IF(H$6="Fatigué", "3x8", IF(H$6="Normal", "4x8", IF(H$6="En Forme", "4x8", "0")))</f>
        <v>4x8</v>
      </c>
      <c r="K10" s="3">
        <f>IF(H$6="Fatigué", $C$17*0.65, IF(H$6="Normal", $C$17*0.7, IF(H$6="En Forme", $C$17*0.75, "0")))</f>
        <v>147</v>
      </c>
      <c r="N10" s="3" t="str">
        <f>IF(L$6="Fatigué", "3x8", IF(L$6="Normal", "4x8", IF(L$6="En Forme", "4x8", "0")))</f>
        <v>4x8</v>
      </c>
      <c r="O10" s="3">
        <f>IF(L$6="Fatigué", $C$17*0.67, IF(L$6="Normal", $C$17*0.72, IF(L$6="En Forme", $C$17*0.77, "0")))</f>
        <v>151.19999999999999</v>
      </c>
      <c r="R10" s="3" t="str">
        <f>IF(P$6="Fatigué", "2x8", IF(P$6="Normal", "2x8", IF(P$6="En Forme", "3x8", "0")))</f>
        <v>2x8</v>
      </c>
      <c r="S10" s="3">
        <f>IF(P$6="Fatigué", $C$17*0.58, IF(P$6="Normal", $C$17*0.63, IF(P$6="En Forme", $C$17*0.68, "0")))</f>
        <v>132.30000000000001</v>
      </c>
      <c r="V10" s="3" t="str">
        <f>IF(T$6="Fatigué", "3x8", IF(T$6="Normal", "4x8", IF(T$6="En Forme", "4x8", "0")))</f>
        <v>4x8</v>
      </c>
      <c r="W10" s="3">
        <f>IF(T$6="Fatigué", $C$17*0.7, IF(T$6="Normal", $C$17*0.75, IF(T$6="En Forme", $C$17*0.8, "0")))</f>
        <v>157.5</v>
      </c>
    </row>
    <row r="11" spans="1:25" ht="27" customHeight="1" thickBot="1" x14ac:dyDescent="0.25">
      <c r="A11" s="10" t="s">
        <v>7</v>
      </c>
      <c r="B11" s="11"/>
      <c r="C11" s="2">
        <v>155</v>
      </c>
      <c r="D11" s="12"/>
      <c r="E11" s="17"/>
      <c r="F11" s="17"/>
      <c r="G11" s="17"/>
      <c r="K11" s="4"/>
    </row>
    <row r="12" spans="1:25" ht="27" customHeight="1" thickBot="1" x14ac:dyDescent="0.25">
      <c r="C12" s="8"/>
      <c r="E12" s="26" t="s">
        <v>38</v>
      </c>
      <c r="F12" s="27"/>
      <c r="G12" s="28"/>
      <c r="H12" s="20" t="s">
        <v>13</v>
      </c>
      <c r="I12" s="21"/>
      <c r="J12" s="7" t="s">
        <v>0</v>
      </c>
      <c r="K12" s="7" t="s">
        <v>1</v>
      </c>
      <c r="L12" s="20" t="s">
        <v>13</v>
      </c>
      <c r="M12" s="21"/>
      <c r="N12" s="7" t="s">
        <v>0</v>
      </c>
      <c r="O12" s="7" t="s">
        <v>1</v>
      </c>
      <c r="P12" s="20" t="s">
        <v>13</v>
      </c>
      <c r="Q12" s="21"/>
      <c r="R12" s="7" t="s">
        <v>0</v>
      </c>
      <c r="S12" s="7" t="s">
        <v>1</v>
      </c>
      <c r="T12" s="20" t="s">
        <v>13</v>
      </c>
      <c r="U12" s="21"/>
      <c r="V12" s="7" t="s">
        <v>0</v>
      </c>
      <c r="W12" s="7" t="s">
        <v>1</v>
      </c>
      <c r="X12" s="7" t="s">
        <v>14</v>
      </c>
      <c r="Y12" s="7" t="s">
        <v>0</v>
      </c>
    </row>
    <row r="13" spans="1:25" ht="27" customHeight="1" thickBot="1" x14ac:dyDescent="0.25">
      <c r="A13" s="10" t="s">
        <v>8</v>
      </c>
      <c r="B13" s="11"/>
      <c r="C13" s="9">
        <v>160</v>
      </c>
      <c r="E13" s="18" t="s">
        <v>57</v>
      </c>
      <c r="F13" s="19"/>
      <c r="G13" s="19"/>
      <c r="H13" s="18" t="s">
        <v>15</v>
      </c>
      <c r="I13" s="22"/>
      <c r="L13" s="18" t="s">
        <v>15</v>
      </c>
      <c r="M13" s="22"/>
      <c r="P13" s="18" t="s">
        <v>15</v>
      </c>
      <c r="Q13" s="22"/>
      <c r="T13" s="18" t="s">
        <v>15</v>
      </c>
      <c r="U13" s="22"/>
      <c r="X13" s="3" t="s">
        <v>18</v>
      </c>
      <c r="Y13" s="3" t="s">
        <v>16</v>
      </c>
    </row>
    <row r="14" spans="1:25" ht="27" customHeight="1" thickBot="1" x14ac:dyDescent="0.25">
      <c r="C14" s="8"/>
      <c r="E14" s="15" t="s">
        <v>45</v>
      </c>
      <c r="F14" s="16"/>
      <c r="G14" s="16"/>
      <c r="H14" s="23"/>
      <c r="I14" s="24"/>
      <c r="J14" s="3" t="str">
        <f>IF(H$13="Fatigué", "2x[2+2+1]", IF(H$13="Normal", "3x[2+2+1]", IF(H$13="En Forme", "3x[2+2+1]", "0")))</f>
        <v>3x[2+2+1]</v>
      </c>
      <c r="K14" s="3">
        <f>IF(H$13="Fatigué", $C$11*0.6, IF(H$13="Normal", $C$11*0.65, IF(H$13="En Forme", $C$11*0.68, "0")))</f>
        <v>100.75</v>
      </c>
      <c r="L14" s="23"/>
      <c r="M14" s="24"/>
      <c r="N14" s="3" t="str">
        <f>IF(L$13="Fatigué", "2x[2+2+1]", IF(L$13="Normal", "3x[2+2+1]", IF(L$13="En Forme", "3x[2+2+1]", "0")))</f>
        <v>3x[2+2+1]</v>
      </c>
      <c r="O14" s="3">
        <f>IF(L$13="Fatigué", $C$11*0.62, IF(L$13="Normal", $C$11*0.67, IF(L$13="En Forme", $C$11*0.7, "0")))</f>
        <v>103.85000000000001</v>
      </c>
      <c r="P14" s="23"/>
      <c r="Q14" s="24"/>
      <c r="R14" s="3" t="str">
        <f>IF(P$13="Fatigué", "1x[2+2+1]", IF(P$13="Normal", "2x[2+2+1]", IF(P$13="En Forme", "2x[2+2+1]", "0")))</f>
        <v>2x[2+2+1]</v>
      </c>
      <c r="S14" s="3">
        <f>IF(P$13="Fatigué", $C$11*0.53, IF(P$13="Normal", $C$11*0.58, IF(P$13="En Forme", $C$11*0.61, "0")))</f>
        <v>89.899999999999991</v>
      </c>
      <c r="T14" s="23"/>
      <c r="U14" s="24"/>
      <c r="V14" s="3" t="str">
        <f>IF(T$13="Fatigué", "2x[2+2+1]", IF(T$13="Normal", "3x[2+2+1]", IF(T$13="En Forme", "3x[2+2+1]", "0")))</f>
        <v>3x[2+2+1]</v>
      </c>
      <c r="W14" s="3">
        <f>IF(T$13="Fatigué", $C$11*0.65, IF(T$13="Normal", $C$11*0.7, IF(T$13="En Forme", $C$11*0.73, "0")))</f>
        <v>108.5</v>
      </c>
      <c r="X14" s="3" t="s">
        <v>25</v>
      </c>
      <c r="Y14" s="3" t="s">
        <v>17</v>
      </c>
    </row>
    <row r="15" spans="1:25" ht="27" customHeight="1" thickBot="1" x14ac:dyDescent="0.25">
      <c r="A15" s="10" t="s">
        <v>9</v>
      </c>
      <c r="B15" s="11"/>
      <c r="C15" s="9">
        <v>170</v>
      </c>
      <c r="E15" s="15" t="s">
        <v>46</v>
      </c>
      <c r="F15" s="16"/>
      <c r="G15" s="16"/>
      <c r="J15" s="3" t="str">
        <f>IF(H$13="Fatigué", "3x2", IF(H$13="Normal", "4x2", IF(H$13="En Forme", "4x2", "0")))</f>
        <v>4x2</v>
      </c>
      <c r="K15" s="3">
        <f>IF(H$13="Fatigué", $C$11*0.7, IF(H$13="Normal", $C$11*0.75, IF(H$13="En Forme", $C$11*0.8, "0")))</f>
        <v>116.25</v>
      </c>
      <c r="N15" s="3" t="str">
        <f>IF(L$13="Fatigué", "3x2", IF(L$13="Normal", "4x2", IF(L$13="En Forme", "4x2", "0")))</f>
        <v>4x2</v>
      </c>
      <c r="O15" s="3">
        <f>IF(L$13="Fatigué", $C$11*0.72, IF(L$13="Normal", $C$11*0.77, IF(L$13="En Forme", $C$11*0.82, "0")))</f>
        <v>119.35000000000001</v>
      </c>
      <c r="R15" s="3" t="str">
        <f>IF(P$13="Fatigué", "2x2", IF(P$13="Normal", "3x2", IF(P$13="En Forme", "3x2", "0")))</f>
        <v>3x2</v>
      </c>
      <c r="S15" s="3">
        <f>IF(P$13="Fatigué", $C$11*0.63, IF(P$13="Normal", $C$11*0.68, IF(P$13="En Forme", $C$11*0.73, "0")))</f>
        <v>105.4</v>
      </c>
      <c r="V15" s="3" t="str">
        <f>IF(T$13="Fatigué", "3x2", IF(T$13="Normal", "4x2", IF(T$13="En Forme", "4x2", "0")))</f>
        <v>4x2</v>
      </c>
      <c r="W15" s="3">
        <f>IF(T$13="Fatigué", $C$11*0.75, IF(T$13="Normal", $C$11*0.8, IF(T$13="En Forme", $C$11*0.85, "0")))</f>
        <v>124</v>
      </c>
      <c r="X15" s="3" t="s">
        <v>26</v>
      </c>
      <c r="Y15" s="3" t="s">
        <v>17</v>
      </c>
    </row>
    <row r="16" spans="1:25" ht="27" customHeight="1" thickBot="1" x14ac:dyDescent="0.25">
      <c r="C16" s="8"/>
      <c r="E16" s="15" t="s">
        <v>6</v>
      </c>
      <c r="F16" s="16"/>
      <c r="G16" s="16"/>
      <c r="J16" s="3" t="str">
        <f>IF(H$13="Fatigué", "3x1", IF(H$13="Normal", "3x1", IF(H$13="En Forme", "4x1", "0")))</f>
        <v>3x1</v>
      </c>
      <c r="K16" s="3">
        <f>IF(H$13="Fatigué", $C$9*0.85, IF(H$13="Normal", $C$9*0.9, IF(H$13="En Forme", $C$9*0.93, "0")))</f>
        <v>112.5</v>
      </c>
      <c r="N16" s="3" t="str">
        <f>IF(L$13="Fatigué", "3x1", IF(L$13="Normal", "3x1", IF(L$13="En Forme", "4x1", "0")))</f>
        <v>3x1</v>
      </c>
      <c r="O16" s="3">
        <f>IF(L$13="Fatigué", $C$9*0.87, IF(L$13="Normal", $C$9*0.92, IF(L$13="En Forme", $C$9*0.95, "0")))</f>
        <v>115</v>
      </c>
      <c r="R16" s="3" t="str">
        <f>IF(P$13="Fatigué", "2x1", IF(P$13="Normal", "2x1", IF(P$13="En Forme", "3x1", "0")))</f>
        <v>2x1</v>
      </c>
      <c r="S16" s="3">
        <f>IF(P$13="Fatigué", $C$9*0.78, IF(P$13="Normal", $C$9*0.83, IF(P$13="En Forme", $C$9*0.86, "0")))</f>
        <v>103.75</v>
      </c>
      <c r="V16" s="3" t="str">
        <f>IF(T$13="Fatigué", "3x1", IF(T$13="Normal", "3x1", IF(T$13="En Forme", "4x1", "0")))</f>
        <v>3x1</v>
      </c>
      <c r="W16" s="3">
        <f>IF(T$13="Fatigué", $C$9*0.9, IF(T$13="Normal", $C$9*0.95, IF(T$13="En Forme", $C$9*0.98, "0")))</f>
        <v>118.75</v>
      </c>
      <c r="X16" s="3" t="s">
        <v>31</v>
      </c>
      <c r="Y16" s="3" t="s">
        <v>16</v>
      </c>
    </row>
    <row r="17" spans="1:25" ht="27" customHeight="1" thickBot="1" x14ac:dyDescent="0.25">
      <c r="A17" s="10" t="s">
        <v>10</v>
      </c>
      <c r="B17" s="11"/>
      <c r="C17" s="2">
        <v>210</v>
      </c>
      <c r="D17" s="6"/>
      <c r="E17" s="15" t="s">
        <v>48</v>
      </c>
      <c r="F17" s="16"/>
      <c r="G17" s="16"/>
      <c r="J17" s="3" t="str">
        <f>IF(H$13="Fatigué", "2x3", IF(H$13="Normal", "2x3", IF(H$13="En Forme", "3x3", "0")))</f>
        <v>2x3</v>
      </c>
      <c r="K17" s="3">
        <f>IF(H$13="Fatigué", $C$9*0.9, IF(H$13="Normal", $C$9*0.95, IF(H$13="En Forme", $C$9*1, "0")))</f>
        <v>118.75</v>
      </c>
      <c r="N17" s="3" t="str">
        <f>IF(L$13="Fatigué", "2x3", IF(L$13="Normal", "2x3", IF(L$13="En Forme", "3x3", "0")))</f>
        <v>2x3</v>
      </c>
      <c r="O17" s="3">
        <f>IF(L$13="Fatigué", $C$9*0.92, IF(L$13="Normal", $C$9*0.97, IF(L$13="En Forme", $C$9*1.02, "0")))</f>
        <v>121.25</v>
      </c>
      <c r="R17" s="3" t="str">
        <f>IF(P$13="Fatigué", "1x3", IF(P$13="Normal", "1x3", IF(P$13="En Forme", "2x3", "0")))</f>
        <v>1x3</v>
      </c>
      <c r="S17" s="3">
        <f>IF(P$13="Fatigué", $C$9*0.83, IF(P$13="Normal", $C$9*0.88, IF(P$13="En Forme", $C$9*0.93, "0")))</f>
        <v>110</v>
      </c>
      <c r="V17" s="3" t="str">
        <f>IF(T$13="Fatigué", "2x3", IF(T$13="Normal", "2x3", IF(T$13="En Forme", "3x3", "0")))</f>
        <v>2x3</v>
      </c>
      <c r="W17" s="3">
        <f>IF(T$13="Fatigué", $C$9*0.95, IF(T$13="Normal", $C$9*1, IF(T$13="En Forme", $C$9*1.05, "0")))</f>
        <v>125</v>
      </c>
    </row>
    <row r="18" spans="1:25" ht="27" customHeight="1" thickBot="1" x14ac:dyDescent="0.25">
      <c r="C18" s="8"/>
      <c r="E18" s="15" t="s">
        <v>58</v>
      </c>
      <c r="F18" s="16"/>
      <c r="G18" s="16"/>
      <c r="J18" s="3" t="str">
        <f>IF(H$13="Fatigué", "3x5", IF(H$13="Normal", "4x5", IF(H$13="En Forme", "4x5", "0")))</f>
        <v>4x5</v>
      </c>
      <c r="K18" s="3">
        <f>IF(H$13="Fatigué", $C$19*0.65, IF(H$13="Normal", $C$19*0.7, IF(H$13="En Forme", $C$19*0.75, "0")))</f>
        <v>125.99999999999999</v>
      </c>
      <c r="N18" s="3" t="str">
        <f>IF(L$13="Fatigué", "3x5", IF(L$13="Normal", "4x5", IF(L$13="En Forme", "4x5", "0")))</f>
        <v>4x5</v>
      </c>
      <c r="O18" s="3">
        <f>IF(L$13="Fatigué", $C$19*0.67, IF(L$13="Normal", $C$19*0.72, IF(L$13="En Forme", $C$19*0.77, "0")))</f>
        <v>129.6</v>
      </c>
      <c r="R18" s="3" t="str">
        <f>IF(P$13="Fatigué", "2x5", IF(P$13="Normal", "3x5", IF(P$13="En Forme", "3x5", "0")))</f>
        <v>3x5</v>
      </c>
      <c r="S18" s="3">
        <f>IF(P$13="Fatigué", $C$19*0.58, IF(P$13="Normal", $C$19*0.63, IF(P$13="En Forme", $C$19*0.68, "0")))</f>
        <v>113.4</v>
      </c>
      <c r="V18" s="3" t="str">
        <f>IF(T$13="Fatigué", "3x5", IF(T$13="Normal", "4x5", IF(T$13="En Forme", "4x5", "0")))</f>
        <v>4x5</v>
      </c>
      <c r="W18" s="3">
        <f>IF(T$13="Fatigué", $C$19*0.7, IF(T$13="Normal", $C$19*0.75, IF(T$13="En Forme", $C$19*0.8, "0")))</f>
        <v>135</v>
      </c>
    </row>
    <row r="19" spans="1:25" ht="27" customHeight="1" thickBot="1" x14ac:dyDescent="0.25">
      <c r="A19" s="10" t="s">
        <v>11</v>
      </c>
      <c r="B19" s="11"/>
      <c r="C19" s="5">
        <v>180</v>
      </c>
      <c r="D19" s="6"/>
      <c r="E19" s="26" t="s">
        <v>41</v>
      </c>
      <c r="F19" s="27"/>
      <c r="G19" s="28"/>
      <c r="H19" s="20" t="s">
        <v>13</v>
      </c>
      <c r="I19" s="21"/>
      <c r="J19" s="7" t="s">
        <v>0</v>
      </c>
      <c r="K19" s="7" t="s">
        <v>1</v>
      </c>
      <c r="L19" s="20" t="s">
        <v>13</v>
      </c>
      <c r="M19" s="21"/>
      <c r="N19" s="7" t="s">
        <v>0</v>
      </c>
      <c r="O19" s="7" t="s">
        <v>1</v>
      </c>
      <c r="P19" s="20" t="s">
        <v>13</v>
      </c>
      <c r="Q19" s="21"/>
      <c r="R19" s="7" t="s">
        <v>0</v>
      </c>
      <c r="S19" s="7" t="s">
        <v>1</v>
      </c>
      <c r="T19" s="20" t="s">
        <v>13</v>
      </c>
      <c r="U19" s="21"/>
      <c r="V19" s="7" t="s">
        <v>0</v>
      </c>
      <c r="W19" s="7" t="s">
        <v>1</v>
      </c>
      <c r="X19" s="7" t="s">
        <v>14</v>
      </c>
      <c r="Y19" s="7" t="s">
        <v>0</v>
      </c>
    </row>
    <row r="20" spans="1:25" ht="27" customHeight="1" x14ac:dyDescent="0.2">
      <c r="E20" s="18" t="s">
        <v>10</v>
      </c>
      <c r="F20" s="19"/>
      <c r="G20" s="19"/>
      <c r="H20" s="18" t="s">
        <v>15</v>
      </c>
      <c r="I20" s="22"/>
      <c r="J20" s="3" t="str">
        <f>IF(H$20="Fatigué", "4x5", IF(H$20="Normal", "5x5", IF(H$20="En Forme", "5x5", "0")))</f>
        <v>5x5</v>
      </c>
      <c r="K20" s="3">
        <f>IF(H$20="Fatigué", $C$17*0.72, IF(H$20="Normal", $C$17*0.77, IF(H$20="En Forme", $C$17*0.8, "0")))</f>
        <v>161.70000000000002</v>
      </c>
      <c r="L20" s="18" t="s">
        <v>15</v>
      </c>
      <c r="M20" s="22"/>
      <c r="N20" s="3" t="str">
        <f>IF(L$20="Fatigué", "4x5", IF(L$20="Normal", "5x5", IF(L$20="En Forme", "5x5", "0")))</f>
        <v>5x5</v>
      </c>
      <c r="O20" s="3">
        <f>IF(L$20="Fatigué", $C$17*0.74, IF(L$20="Normal", $C$17*0.79, IF(L$20="En Forme", $C$17*0.82, "0")))</f>
        <v>165.9</v>
      </c>
      <c r="P20" s="18" t="s">
        <v>15</v>
      </c>
      <c r="Q20" s="22"/>
      <c r="R20" s="3" t="str">
        <f>IF(P$20="Fatigué", "2x5", IF(P$20="Normal", "3x5", IF(P$20="En Forme", "3x5", "0")))</f>
        <v>3x5</v>
      </c>
      <c r="S20" s="3">
        <f>IF(P$20="Fatigué", $C$17*0.65, IF(P$20="Normal", $C$17*0.7, IF(P$20="En Forme", $C$17*0.73, "0")))</f>
        <v>147</v>
      </c>
      <c r="T20" s="18" t="s">
        <v>15</v>
      </c>
      <c r="U20" s="22"/>
      <c r="V20" s="3" t="str">
        <f>IF(T$20="Fatigué", "4x5", IF(T$20="Normal", "5x5", IF(T$20="En Forme", "5x5", "0")))</f>
        <v>5x5</v>
      </c>
      <c r="W20" s="3">
        <f>IF(T$20="Fatigué", $C$17*0.77, IF(T$20="Normal", $C$17*0.82, IF(T$20="En Forme", $C$17*0.85, "0")))</f>
        <v>172.2</v>
      </c>
      <c r="X20" s="3" t="s">
        <v>27</v>
      </c>
      <c r="Y20" s="3" t="s">
        <v>17</v>
      </c>
    </row>
    <row r="21" spans="1:25" ht="27" customHeight="1" thickBot="1" x14ac:dyDescent="0.25">
      <c r="D21" s="13"/>
      <c r="E21" s="15" t="s">
        <v>47</v>
      </c>
      <c r="F21" s="16"/>
      <c r="G21" s="16"/>
      <c r="H21" s="23"/>
      <c r="I21" s="24"/>
      <c r="J21" s="3" t="str">
        <f>IF(H$20="Fatigué", "3x2", IF(H$20="Normal", "4x2", IF(H$20="En Forme", "4x2", "0")))</f>
        <v>4x2</v>
      </c>
      <c r="K21" s="3">
        <f>IF(H$20="Fatigué", $C$9*0.75, IF(H$20="Normal", $C$9*0.8, IF(H$20="En Forme", $C$9*0.85, "0")))</f>
        <v>100</v>
      </c>
      <c r="L21" s="23"/>
      <c r="M21" s="24"/>
      <c r="N21" s="3" t="str">
        <f>IF(L$20="Fatigué", "3x2", IF(L$20="Normal", "4x2", IF(L$20="En Forme", "4x2", "0")))</f>
        <v>4x2</v>
      </c>
      <c r="O21" s="3">
        <f>IF(L$20="Fatigué", $C$9*0.77, IF(L$20="Normal", $C$9*0.82, IF(L$20="En Forme", $C$9*0.87, "0")))</f>
        <v>102.5</v>
      </c>
      <c r="P21" s="23"/>
      <c r="Q21" s="24"/>
      <c r="R21" s="3" t="str">
        <f>IF(P$20="Fatigué", "2x2", IF(P$20="Normal", "3x2", IF(P$20="En Forme", "3x2", "0")))</f>
        <v>3x2</v>
      </c>
      <c r="S21" s="3">
        <f>IF(P$20="Fatigué", $C$9*0.68, IF(P$20="Normal", $C$9*0.73, IF(P$20="En Forme", $C$9*0.78, "0")))</f>
        <v>91.25</v>
      </c>
      <c r="T21" s="23"/>
      <c r="U21" s="24"/>
      <c r="V21" s="3" t="str">
        <f>IF(T$20="Fatigué", "3x2", IF(T$20="Normal", "4x2", IF(T$20="En Forme", "4x2", "0")))</f>
        <v>4x2</v>
      </c>
      <c r="W21" s="3">
        <f>IF(T$20="Fatigué", $C$9*0.8, IF(T$20="Normal", $C$9*0.85, IF(T$20="En Forme", $C$9*0.9, "0")))</f>
        <v>106.25</v>
      </c>
      <c r="X21" s="3" t="s">
        <v>33</v>
      </c>
      <c r="Y21" s="3" t="s">
        <v>34</v>
      </c>
    </row>
    <row r="22" spans="1:25" ht="27" customHeight="1" x14ac:dyDescent="0.2">
      <c r="E22" s="15" t="s">
        <v>48</v>
      </c>
      <c r="F22" s="16"/>
      <c r="G22" s="16"/>
      <c r="J22" s="3" t="str">
        <f>IF(H$20="Fatigué", "2x2", IF(H$20="Normal", "2x2", IF(H$20="En Forme", "2x2", "0")))</f>
        <v>2x2</v>
      </c>
      <c r="K22" s="3">
        <f>IF(H$20="Fatigué", $C$9*0.98, IF(H$20="Normal", $C$9*1.03, IF(H$20="En Forme", $C$9*1.06, "0")))</f>
        <v>128.75</v>
      </c>
      <c r="N22" s="3" t="str">
        <f>IF(L$20="Fatigué", "2x2", IF(L$20="Normal", "2x2", IF(L$20="En Forme", "2x2", "0")))</f>
        <v>2x2</v>
      </c>
      <c r="O22" s="3">
        <f>IF(L$20="Fatigué", $C$9*1, IF(L$20="Normal", $C$9*1.05, IF(L$20="En Forme", $C$9*1.08, "0")))</f>
        <v>131.25</v>
      </c>
      <c r="R22" s="3" t="str">
        <f>IF(P$20="Fatigué", "1x2", IF(P$20="Normal", "1x2", IF(P$20="En Forme", "1x2", "0")))</f>
        <v>1x2</v>
      </c>
      <c r="S22" s="3">
        <f>IF(P$20="Fatigué", $C$9*0.91, IF(P$20="Normal", $C$9*0.96, IF(P$20="En Forme", $C$9*0.99, "0")))</f>
        <v>120</v>
      </c>
      <c r="V22" s="3" t="str">
        <f>IF(T$20="Fatigué", "2x2", IF(T$20="Normal", "2x2", IF(T$20="En Forme", "2x2", "0")))</f>
        <v>2x2</v>
      </c>
      <c r="W22" s="3">
        <f>IF(T$20="Fatigué", $C$9*1.03, IF(T$20="Normal", $C$9*1.08, IF(T$20="En Forme", $C$9*1.11, "0")))</f>
        <v>135</v>
      </c>
      <c r="X22" s="3" t="s">
        <v>35</v>
      </c>
      <c r="Y22" s="3" t="s">
        <v>16</v>
      </c>
    </row>
    <row r="23" spans="1:25" ht="27" customHeight="1" x14ac:dyDescent="0.2">
      <c r="D23" s="13"/>
      <c r="E23" s="15" t="s">
        <v>49</v>
      </c>
      <c r="F23" s="16"/>
      <c r="G23" s="16"/>
      <c r="J23" s="3" t="str">
        <f>IF(H$20="Fatigué", "2x5", IF(H$20="Normal", "3x5", IF(H$20="En Forme", "3x5", "0")))</f>
        <v>3x5</v>
      </c>
      <c r="K23" s="3">
        <f>IF(H$20="Fatigué", $C$11*0.55, IF(H$20="Normal", $C$11*0.6, IF(H$20="En Forme", $C$11*0.65, "0")))</f>
        <v>93</v>
      </c>
      <c r="N23" s="3" t="str">
        <f>IF(L$20="Fatigué", "2x5", IF(L$20="Normal", "3x5", IF(L$20="En Forme", "3x5", "0")))</f>
        <v>3x5</v>
      </c>
      <c r="O23" s="3">
        <f>IF(L$20="Fatigué", $C$11*0.57, IF(L$20="Normal", $C$11*0.62, IF(L$20="En Forme", $C$11*0.67, "0")))</f>
        <v>96.1</v>
      </c>
      <c r="R23" s="3" t="str">
        <f>IF(P$20="Fatigué", "1x5", IF(P$20="Normal", "2x5", IF(P$20="En Forme", "2x5", "0")))</f>
        <v>2x5</v>
      </c>
      <c r="S23" s="3">
        <f>IF(P$20="Fatigué", $C$11*0.48, IF(P$20="Normal", $C$11*0.53, IF(P$20="En Forme", $C$11*0.58, "0")))</f>
        <v>82.15</v>
      </c>
      <c r="V23" s="3" t="str">
        <f>IF(T$20="Fatigué", "2x5", IF(T$20="Normal", "3x5", IF(T$20="En Forme", "3x5", "0")))</f>
        <v>3x5</v>
      </c>
      <c r="W23" s="3">
        <f>IF(T$20="Fatigué", $C$11*0.6, IF(T$20="Normal", $C$11*0.65, IF(T$20="En Forme", $C$11*0.7, "0")))</f>
        <v>100.75</v>
      </c>
      <c r="X23" s="3" t="s">
        <v>36</v>
      </c>
      <c r="Y23" s="3" t="s">
        <v>16</v>
      </c>
    </row>
    <row r="24" spans="1:25" ht="27" customHeight="1" x14ac:dyDescent="0.2">
      <c r="E24" s="15"/>
      <c r="F24" s="16"/>
      <c r="G24" s="16"/>
    </row>
    <row r="25" spans="1:25" ht="27" customHeight="1" thickBot="1" x14ac:dyDescent="0.25">
      <c r="E25" s="17"/>
      <c r="F25" s="17"/>
      <c r="G25" s="17"/>
      <c r="K25" s="4"/>
    </row>
    <row r="26" spans="1:25" ht="27" customHeight="1" thickBot="1" x14ac:dyDescent="0.25">
      <c r="E26" s="26" t="s">
        <v>40</v>
      </c>
      <c r="F26" s="27"/>
      <c r="G26" s="28"/>
      <c r="H26" s="20" t="s">
        <v>13</v>
      </c>
      <c r="I26" s="21"/>
      <c r="J26" s="7" t="s">
        <v>0</v>
      </c>
      <c r="K26" s="7" t="s">
        <v>1</v>
      </c>
      <c r="L26" s="20" t="s">
        <v>13</v>
      </c>
      <c r="M26" s="21"/>
      <c r="N26" s="7" t="s">
        <v>0</v>
      </c>
      <c r="O26" s="7" t="s">
        <v>1</v>
      </c>
      <c r="P26" s="20" t="s">
        <v>13</v>
      </c>
      <c r="Q26" s="21"/>
      <c r="R26" s="7" t="s">
        <v>0</v>
      </c>
      <c r="S26" s="7" t="s">
        <v>1</v>
      </c>
      <c r="T26" s="20" t="s">
        <v>13</v>
      </c>
      <c r="U26" s="21"/>
      <c r="V26" s="7" t="s">
        <v>0</v>
      </c>
      <c r="W26" s="7" t="s">
        <v>1</v>
      </c>
      <c r="X26" s="7" t="s">
        <v>14</v>
      </c>
      <c r="Y26" s="7" t="s">
        <v>0</v>
      </c>
    </row>
    <row r="27" spans="1:25" ht="27" customHeight="1" x14ac:dyDescent="0.2">
      <c r="E27" s="18" t="s">
        <v>50</v>
      </c>
      <c r="F27" s="19"/>
      <c r="G27" s="19"/>
      <c r="H27" s="18" t="s">
        <v>15</v>
      </c>
      <c r="I27" s="22"/>
      <c r="J27" s="3" t="str">
        <f>IF(H$27="Fatigué", "2x3", IF(H$27="Normal", "3x3", IF(H$27="En Forme", "3x3", "0")))</f>
        <v>3x3</v>
      </c>
      <c r="K27" s="3">
        <f>IF(H$27="Fatigué", $C$11*0.25, IF(H$27="Normal", $C$11*0.3, IF(H$27="En Forme", $C$11*0.35, "0")))</f>
        <v>46.5</v>
      </c>
      <c r="L27" s="18" t="s">
        <v>15</v>
      </c>
      <c r="M27" s="22"/>
      <c r="N27" s="3" t="str">
        <f>IF(L$27="Fatigué", "2x3", IF(L$27="Normal", "3x3", IF(L$27="En Forme", "3x3", "0")))</f>
        <v>3x3</v>
      </c>
      <c r="O27" s="3">
        <f>IF(L$27="Fatigué", $C$11*0.27, IF(L$27="Normal", $C$11*0.32, IF(L$27="En Forme", $C$11*0.37, "0")))</f>
        <v>49.6</v>
      </c>
      <c r="P27" s="18" t="s">
        <v>15</v>
      </c>
      <c r="Q27" s="22"/>
      <c r="R27" s="3" t="str">
        <f>IF(P$27="Fatigué", "1x3", IF(P$27="Normal", "2x3", IF(P$27="En Forme", "2x3", "0")))</f>
        <v>2x3</v>
      </c>
      <c r="S27" s="3">
        <f>IF(P$27="Fatigué", $C$11*0.2, IF(P$27="Normal", $C$11*0.25, IF(P$27="En Forme", $C$11*0.3, "0")))</f>
        <v>38.75</v>
      </c>
      <c r="T27" s="18" t="s">
        <v>15</v>
      </c>
      <c r="U27" s="22"/>
      <c r="V27" s="3" t="str">
        <f>IF(T$27="Fatigué", "2x3", IF(T$27="Normal", "3x3", IF(T$27="En Forme", "3x3", "0")))</f>
        <v>3x3</v>
      </c>
      <c r="W27" s="3">
        <f>IF(T$27="Fatigué", $C$11*0.3, IF(T$27="Normal", $C$11*0.35, IF(T$27="En Forme", $C$11*0.4, "0")))</f>
        <v>54.25</v>
      </c>
      <c r="X27" s="3" t="s">
        <v>28</v>
      </c>
      <c r="Y27" s="3" t="s">
        <v>16</v>
      </c>
    </row>
    <row r="28" spans="1:25" ht="27" customHeight="1" thickBot="1" x14ac:dyDescent="0.25">
      <c r="E28" s="15" t="s">
        <v>59</v>
      </c>
      <c r="F28" s="16"/>
      <c r="G28" s="16"/>
      <c r="H28" s="23"/>
      <c r="I28" s="24"/>
      <c r="J28" s="3" t="str">
        <f>IF(H$27="Fatigué", "2x2", IF(H$27="Normal", "3x2", IF(H$27="En Forme", "3x2", "0")))</f>
        <v>3x2</v>
      </c>
      <c r="K28" s="3">
        <f>IF(H$27="Fatigué", $C$11*0.57, IF(H$27="Normal", $C$11*0.62, IF(H$27="En Forme", $C$11*0.65, "0")))</f>
        <v>96.1</v>
      </c>
      <c r="L28" s="23"/>
      <c r="M28" s="24"/>
      <c r="N28" s="3" t="str">
        <f>IF(L$27="Fatigué", "2x2", IF(L$27="Normal", "3x2", IF(L$27="En Forme", "3x2", "0")))</f>
        <v>3x2</v>
      </c>
      <c r="O28" s="3">
        <f>IF(L$27="Fatigué", $C$11*0.59, IF(L$27="Normal", $C$11*0.64, IF(L$27="En Forme", $C$11*0.67, "0")))</f>
        <v>99.2</v>
      </c>
      <c r="P28" s="23"/>
      <c r="Q28" s="24"/>
      <c r="R28" s="3" t="str">
        <f>IF(P$27="Fatigué", "1x2", IF(P$27="Normal", "2x2", IF(P$27="En Forme", "2x2", "0")))</f>
        <v>2x2</v>
      </c>
      <c r="S28" s="3">
        <f>IF(P$27="Fatigué", $C$11*0.5, IF(P$27="Normal", $C$11*0.55, IF(P$27="En Forme", $C$11*0.58, "0")))</f>
        <v>85.25</v>
      </c>
      <c r="T28" s="23"/>
      <c r="U28" s="24"/>
      <c r="V28" s="3" t="str">
        <f>IF(T$27="Fatigué", "2x2", IF(T$27="Normal", "3x2", IF(T$27="En Forme", "3x2", "0")))</f>
        <v>3x2</v>
      </c>
      <c r="W28" s="3">
        <f>IF(T$27="Fatigué", $C$11*0.62, IF(T$27="Normal", $C$11*0.67, IF(T$27="En Forme", $C$11*0.7, "0")))</f>
        <v>103.85000000000001</v>
      </c>
      <c r="X28" s="3" t="s">
        <v>32</v>
      </c>
      <c r="Y28" s="3" t="s">
        <v>16</v>
      </c>
    </row>
    <row r="29" spans="1:25" ht="27" customHeight="1" x14ac:dyDescent="0.2">
      <c r="E29" s="15" t="s">
        <v>51</v>
      </c>
      <c r="F29" s="16"/>
      <c r="G29" s="16"/>
      <c r="J29" s="3" t="str">
        <f>IF(H$27="Fatigué", "2x3", IF(H$27="Normal", "3x3", IF(H$27="En Forme", "3x3", "0")))</f>
        <v>3x3</v>
      </c>
      <c r="K29" s="3">
        <f>IF(H$27="Fatigué", $C$15*0.72, IF(H$27="Normal", $C$15*0.77, IF(H$27="En Forme", $C$15*0.8, "0")))</f>
        <v>130.9</v>
      </c>
      <c r="N29" s="3" t="str">
        <f>IF(L$27="Fatigué", "2x3", IF(L$27="Normal", "3x3", IF(L$27="En Forme", "3x3", "0")))</f>
        <v>3x3</v>
      </c>
      <c r="O29" s="3">
        <f>IF(L$27="Fatigué", $C$15*0.74, IF(L$27="Normal", $C$15*0.79, IF(L$27="En Forme", $C$15*0.82, "0")))</f>
        <v>134.30000000000001</v>
      </c>
      <c r="R29" s="3" t="str">
        <f>IF(P$27="Fatigué", "1x3", IF(P$27="Normal", "2x3", IF(P$27="En Forme", "2x3", "0")))</f>
        <v>2x3</v>
      </c>
      <c r="S29" s="3">
        <f>IF(P$27="Fatigué", $C$15*0.65, IF(P$27="Normal", $C$15*0.7, IF(P$27="En Forme", $C$15*0.73, "0")))</f>
        <v>118.99999999999999</v>
      </c>
      <c r="V29" s="3" t="str">
        <f>IF(T$27="Fatigué", "2x3", IF(T$27="Normal", "3x3", IF(T$27="En Forme", "3x3", "0")))</f>
        <v>3x3</v>
      </c>
      <c r="W29" s="3">
        <f>IF(T$27="Fatigué", $C$15*0.77, IF(T$27="Normal", $C$15*0.82, IF(T$27="En Forme", $C$15*0.85, "0")))</f>
        <v>139.4</v>
      </c>
    </row>
    <row r="30" spans="1:25" ht="27" customHeight="1" x14ac:dyDescent="0.2">
      <c r="E30" s="15" t="s">
        <v>52</v>
      </c>
      <c r="F30" s="16"/>
      <c r="G30" s="16"/>
      <c r="J30" s="3" t="str">
        <f>IF(H$27="Fatigué", "2x3", IF(H$27="Normal", "3x3", IF(H$27="En Forme", "3x3", "0")))</f>
        <v>3x3</v>
      </c>
      <c r="K30" s="3">
        <f>IF(H$27="Fatigué", $C$9*0.52, IF(H$27="Normal", $C$9*0.57, IF(H$27="En Forme", $C$9*0.6, "0")))</f>
        <v>71.25</v>
      </c>
      <c r="N30" s="3" t="str">
        <f>IF(L$27="Fatigué", "2x3", IF(L$27="Normal", "3x3", IF(L$27="En Forme", "3x3", "0")))</f>
        <v>3x3</v>
      </c>
      <c r="O30" s="3">
        <f>IF(L$27="Fatigué", $C$9*0.54, IF(L$27="Normal", $C$9*0.59, IF(L$27="En Forme", $C$9*0.62, "0")))</f>
        <v>73.75</v>
      </c>
      <c r="R30" s="3" t="str">
        <f>IF(P$27="Fatigué", "1x3", IF(P$27="Normal", "2x3", IF(P$27="En Forme", "2x3", "0")))</f>
        <v>2x3</v>
      </c>
      <c r="S30" s="3">
        <f>IF(P$27="Fatigué", $C$9*0.45, IF(P$27="Normal", $C$9*0.5, IF(P$27="En Forme", $C$9*0.53, "0")))</f>
        <v>62.5</v>
      </c>
      <c r="V30" s="3" t="str">
        <f>IF(T$27="Fatigué", "2x3", IF(T$27="Normal", "3x3", IF(T$27="En Forme", "3x3", "0")))</f>
        <v>3x3</v>
      </c>
      <c r="W30" s="3">
        <f>IF(T$27="Fatigué", $C$9*0.57, IF(T$27="Normal", $C$9*0.62, IF(T$27="En Forme", $C$9*0.65, "0")))</f>
        <v>77.5</v>
      </c>
    </row>
    <row r="31" spans="1:25" ht="27" customHeight="1" x14ac:dyDescent="0.2">
      <c r="E31" s="15" t="s">
        <v>53</v>
      </c>
      <c r="F31" s="16"/>
      <c r="G31" s="16"/>
      <c r="J31" s="3" t="str">
        <f>IF(H$27="Fatigué", "3x2", IF(H$27="Normal", "3x2", IF(H$27="En Forme", "4x2", "0")))</f>
        <v>3x2</v>
      </c>
      <c r="K31" s="3">
        <f>IF(H$27="Fatigué", $C$9*0.7, IF(H$27="Normal", $C$9*0.75, IF(H$27="En Forme", $C$9*0.8, "0")))</f>
        <v>93.75</v>
      </c>
      <c r="N31" s="3" t="str">
        <f>IF(L$27="Fatigué", "3x2", IF(L$27="Normal", "3x2", IF(L$27="En Forme", "4x2", "0")))</f>
        <v>3x2</v>
      </c>
      <c r="O31" s="3">
        <f>IF(L$27="Fatigué", $C$9*0.72, IF(L$27="Normal", $C$9*0.77, IF(L$27="En Forme", $C$9*0.82, "0")))</f>
        <v>96.25</v>
      </c>
      <c r="R31" s="3" t="str">
        <f>IF(P$27="Fatigué", "2x2", IF(P$27="Normal", "2x2", IF(P$27="En Forme", "3x2", "0")))</f>
        <v>2x2</v>
      </c>
      <c r="S31" s="3">
        <f>IF(P$27="Fatigué", $C$9*0.63, IF(P$27="Normal", $C$9*0.68, IF(P$27="En Forme", $C$9*0.73, "0")))</f>
        <v>85</v>
      </c>
      <c r="V31" s="3" t="str">
        <f>IF(T$27="Fatigué", "3x2", IF(T$27="Normal", "3x2", IF(T$27="En Forme", "4x2", "0")))</f>
        <v>3x2</v>
      </c>
      <c r="W31" s="3">
        <f>IF(T$27="Fatigué", $C$9*0.75, IF(T$27="Normal", $C$9*0.8, IF(T$27="En Forme", $C$9*0.85, "0")))</f>
        <v>100</v>
      </c>
    </row>
    <row r="32" spans="1:25" ht="27" customHeight="1" x14ac:dyDescent="0.2">
      <c r="E32" s="15"/>
      <c r="F32" s="16"/>
      <c r="G32" s="16"/>
    </row>
    <row r="33" spans="5:25" ht="27" customHeight="1" thickBot="1" x14ac:dyDescent="0.25">
      <c r="E33" s="17"/>
      <c r="F33" s="17"/>
      <c r="G33" s="17"/>
      <c r="J33" s="1"/>
      <c r="K33" s="1"/>
      <c r="N33" s="1"/>
      <c r="O33" s="1"/>
      <c r="R33" s="1"/>
      <c r="S33" s="1"/>
      <c r="V33" s="1"/>
      <c r="W33" s="1"/>
    </row>
    <row r="34" spans="5:25" ht="27" customHeight="1" thickBot="1" x14ac:dyDescent="0.25">
      <c r="E34" s="26" t="s">
        <v>39</v>
      </c>
      <c r="F34" s="27"/>
      <c r="G34" s="28"/>
      <c r="H34" s="20" t="s">
        <v>13</v>
      </c>
      <c r="I34" s="21"/>
      <c r="J34" s="7" t="s">
        <v>0</v>
      </c>
      <c r="K34" s="7" t="s">
        <v>1</v>
      </c>
      <c r="L34" s="20" t="s">
        <v>13</v>
      </c>
      <c r="M34" s="21"/>
      <c r="N34" s="7" t="s">
        <v>0</v>
      </c>
      <c r="O34" s="7" t="s">
        <v>1</v>
      </c>
      <c r="P34" s="20" t="s">
        <v>13</v>
      </c>
      <c r="Q34" s="21"/>
      <c r="R34" s="7" t="s">
        <v>0</v>
      </c>
      <c r="S34" s="7" t="s">
        <v>1</v>
      </c>
      <c r="T34" s="20" t="s">
        <v>13</v>
      </c>
      <c r="U34" s="21"/>
      <c r="V34" s="7" t="s">
        <v>0</v>
      </c>
      <c r="W34" s="7" t="s">
        <v>1</v>
      </c>
      <c r="X34" s="7" t="s">
        <v>14</v>
      </c>
      <c r="Y34" s="7" t="s">
        <v>0</v>
      </c>
    </row>
    <row r="35" spans="5:25" ht="27" customHeight="1" x14ac:dyDescent="0.2">
      <c r="E35" s="18" t="s">
        <v>54</v>
      </c>
      <c r="F35" s="19"/>
      <c r="G35" s="22"/>
      <c r="H35" s="18" t="s">
        <v>15</v>
      </c>
      <c r="I35" s="22"/>
      <c r="J35" s="3" t="str">
        <f>IF(H$35="Fatigué", "2x2", IF(H$35="Normal", "3x2", IF(H$35="En Forme", "3x2", "0")))</f>
        <v>3x2</v>
      </c>
      <c r="K35" s="3">
        <f>IF(H$35="Fatigué", $C$9*0.77, IF(H$35="Normal", $C$9*0.82, IF(H$35="En Forme", $C$9*0.85, "0")))</f>
        <v>102.5</v>
      </c>
      <c r="L35" s="18" t="s">
        <v>15</v>
      </c>
      <c r="M35" s="22"/>
      <c r="N35" s="3" t="str">
        <f>IF(L$35="Fatigué", "2x2", IF(L$35="Normal", "3x2", IF(L$35="En Forme", "3x2", "0")))</f>
        <v>3x2</v>
      </c>
      <c r="O35" s="3">
        <f>IF(L$35="Fatigué", $C$9*0.79, IF(L$35="Normal", $C$9*0.84, IF(L$35="En Forme", $C$9*0.87, "0")))</f>
        <v>105</v>
      </c>
      <c r="P35" s="18" t="s">
        <v>15</v>
      </c>
      <c r="Q35" s="22"/>
      <c r="R35" s="3" t="str">
        <f>IF(P$35="Fatigué", "1x2", IF(P$35="Normal", "2x2", IF(P$35="En Forme", "2x2", "0")))</f>
        <v>2x2</v>
      </c>
      <c r="S35" s="3">
        <f>IF(P$35="Fatigué", $C$9*0.7, IF(P$35="Normal", $C$9*0.75, IF(P$35="En Forme", $C$9*0.78, "0")))</f>
        <v>93.75</v>
      </c>
      <c r="T35" s="18" t="s">
        <v>15</v>
      </c>
      <c r="U35" s="22"/>
      <c r="V35" s="3" t="str">
        <f>IF(T$35="Fatigué", "2x2", IF(T$35="Normal", "3x2", IF(T$35="En Forme", "3x2", "0")))</f>
        <v>3x2</v>
      </c>
      <c r="W35" s="3">
        <f>IF(T$35="Fatigué", $C$9*0.82, IF(T$35="Normal", $C$9*0.87, IF(T$35="En Forme", $C$9*0.9, "0")))</f>
        <v>108.75</v>
      </c>
      <c r="X35" s="3" t="s">
        <v>22</v>
      </c>
      <c r="Y35" s="3" t="s">
        <v>16</v>
      </c>
    </row>
    <row r="36" spans="5:25" ht="27" customHeight="1" thickBot="1" x14ac:dyDescent="0.25">
      <c r="E36" s="15" t="s">
        <v>54</v>
      </c>
      <c r="F36" s="16"/>
      <c r="G36" s="25"/>
      <c r="H36" s="23"/>
      <c r="I36" s="24"/>
      <c r="J36" s="3" t="str">
        <f>IF(H$27="Fatigué", "1x1", IF(H$27="Normal", "2x1", IF(H$27="En Forme", "2x1", "0")))</f>
        <v>2x1</v>
      </c>
      <c r="K36" s="3">
        <f>IF(H$27="Fatigué", $C$9*0.87, IF(H$27="Normal", $C$9*0.92, IF(H$27="En Forme", $C$9*0.95, "0")))</f>
        <v>115</v>
      </c>
      <c r="L36" s="23"/>
      <c r="M36" s="24"/>
      <c r="N36" s="3" t="str">
        <f>IF(L$27="Fatigué", "1x1", IF(L$27="Normal", "2x1", IF(L$27="En Forme", "2x1", "0")))</f>
        <v>2x1</v>
      </c>
      <c r="O36" s="3">
        <f>IF(L$27="Fatigué", $C$9*0.89, IF(L$27="Normal", $C$9*0.94, IF(L$27="En Forme", $C$9*0.97, "0")))</f>
        <v>117.5</v>
      </c>
      <c r="P36" s="23"/>
      <c r="Q36" s="24"/>
      <c r="R36" s="3" t="str">
        <f>IF(P$27="Fatigué", "1x1", IF(P$27="Normal", "1x1", IF(P$27="En Forme", "1x1", "0")))</f>
        <v>1x1</v>
      </c>
      <c r="S36" s="3">
        <f>IF(P$27="Fatigué", $C$9*0.8, IF(P$27="Normal", $C$9*0.85, IF(P$27="En Forme", $C$9*0.88, "0")))</f>
        <v>106.25</v>
      </c>
      <c r="T36" s="23"/>
      <c r="U36" s="24"/>
      <c r="V36" s="3" t="str">
        <f>IF(T$27="Fatigué", "1x1", IF(T$27="Normal", "2x1", IF(T$27="En Forme", "2x1", "0")))</f>
        <v>2x1</v>
      </c>
      <c r="W36" s="3">
        <f>IF(T$27="Fatigué", $C$9*0.92, IF(T$27="Normal", $C$9*0.97, IF(T$27="En Forme", $C$9*1, "0")))</f>
        <v>121.25</v>
      </c>
      <c r="X36" s="3" t="s">
        <v>23</v>
      </c>
      <c r="Y36" s="3" t="s">
        <v>17</v>
      </c>
    </row>
    <row r="37" spans="5:25" ht="27" customHeight="1" x14ac:dyDescent="0.2">
      <c r="E37" s="15" t="s">
        <v>21</v>
      </c>
      <c r="F37" s="16"/>
      <c r="G37" s="16"/>
      <c r="J37" s="3" t="str">
        <f>IF(H$27="Fatigué", "2x2", IF(H$27="Normal", "3x2", IF(H$27="En Forme", "3x2", "0")))</f>
        <v>3x2</v>
      </c>
      <c r="K37" s="3">
        <f>IF(H$27="Fatigué", $C$11*0.8, IF(H$27="Normal", $C$11*0.85, IF(H$27="En Forme", $C$11*0.88, "0")))</f>
        <v>131.75</v>
      </c>
      <c r="N37" s="3" t="str">
        <f>IF(L$27="Fatigué", "2x2", IF(L$27="Normal", "3x2", IF(L$27="En Forme", "3x2", "0")))</f>
        <v>3x2</v>
      </c>
      <c r="O37" s="3">
        <f>IF(L$27="Fatigué", $C$11*0.82, IF(L$27="Normal", $C$11*0.87, IF(L$27="En Forme", $C$11*0.9, "0")))</f>
        <v>134.85</v>
      </c>
      <c r="R37" s="3" t="str">
        <f>IF(P$27="Fatigué", "1x2", IF(P$27="Normal", "2x2", IF(P$27="En Forme", "2x2", "0")))</f>
        <v>2x2</v>
      </c>
      <c r="S37" s="3">
        <f>IF(P$27="Fatigué", $C$11*0.73, IF(P$27="Normal", $C$11*0.78, IF(P$27="En Forme", $C$11*0.81, "0")))</f>
        <v>120.9</v>
      </c>
      <c r="V37" s="3" t="str">
        <f>IF(T$27="Fatigué", "2x2", IF(T$27="Normal", "3x2", IF(T$27="En Forme", "3x2", "0")))</f>
        <v>3x2</v>
      </c>
      <c r="W37" s="3">
        <f>IF(T$27="Fatigué", $C$11*0.85, IF(T$27="Normal", $C$11*0.9, IF(T$27="En Forme", $C$11*0.93, "0")))</f>
        <v>139.5</v>
      </c>
      <c r="X37" s="3" t="s">
        <v>24</v>
      </c>
      <c r="Y37" s="3" t="s">
        <v>16</v>
      </c>
    </row>
    <row r="38" spans="5:25" ht="27" customHeight="1" x14ac:dyDescent="0.2">
      <c r="E38" s="15" t="s">
        <v>21</v>
      </c>
      <c r="F38" s="16"/>
      <c r="G38" s="16"/>
      <c r="J38" s="3" t="str">
        <f>IF(H$27="Fatigué", "2x1", IF(H$27="Normal", "3x1", IF(H$27="En Forme", "3x1", "0")))</f>
        <v>3x1</v>
      </c>
      <c r="K38" s="3">
        <f>IF(H$27="Fatigué", $C$11*0.85, IF(H$27="Normal", $C$11*0.9, IF(H$27="En Forme", $C$11*0.93, "0")))</f>
        <v>139.5</v>
      </c>
      <c r="N38" s="3" t="str">
        <f>IF(L$27="Fatigué", "2x1", IF(L$27="Normal", "3x1", IF(L$27="En Forme", "3x1", "0")))</f>
        <v>3x1</v>
      </c>
      <c r="O38" s="3">
        <f>IF(L$27="Fatigué", $C$11*0.87, IF(L$27="Normal", $C$11*0.92, IF(L$27="En Forme", $C$11*0.95, "0")))</f>
        <v>142.6</v>
      </c>
      <c r="R38" s="3" t="str">
        <f>IF(P$27="Fatigué", "1x1", IF(P$27="Normal", "2x1", IF(P$27="En Forme", "2x1", "0")))</f>
        <v>2x1</v>
      </c>
      <c r="S38" s="3">
        <f>IF(P$27="Fatigué", $C$11*0.78, IF(P$27="Normal", $C$11*0.83, IF(P$27="En Forme", $C$11*0.86, "0")))</f>
        <v>128.65</v>
      </c>
      <c r="V38" s="3" t="str">
        <f>IF(T$27="Fatigué", "2x1", IF(T$27="Normal", "3x1", IF(T$27="En Forme", "3x1", "0")))</f>
        <v>3x1</v>
      </c>
      <c r="W38" s="3">
        <f>IF(T$27="Fatigué", $C$11*0.9, IF(T$27="Normal", $C$11*0.95, IF(T$27="En Forme", $C$11*0.98, "0")))</f>
        <v>147.25</v>
      </c>
    </row>
    <row r="39" spans="5:25" ht="27" customHeight="1" x14ac:dyDescent="0.2">
      <c r="E39" s="15" t="s">
        <v>60</v>
      </c>
      <c r="F39" s="16"/>
      <c r="G39" s="16"/>
      <c r="J39" s="3" t="str">
        <f>IF(H$27="Fatigué", "2x10", IF(H$27="Normal", "3x10", IF(H$27="En Forme", "3x10", "0")))</f>
        <v>3x10</v>
      </c>
      <c r="K39" s="3">
        <f>IF(H$27="Fatigué", $C$19*0.4, IF(H$27="Normal", $C$19*0.45, IF(H$27="En Forme", $C$19*0.5, "0")))</f>
        <v>81</v>
      </c>
      <c r="N39" s="3" t="str">
        <f>IF(L$27="Fatigué", "2x10", IF(L$27="Normal", "3x10", IF(L$27="En Forme", "3x10", "0")))</f>
        <v>3x10</v>
      </c>
      <c r="O39" s="3">
        <f>IF(L$27="Fatigué", $C$19*0.42, IF(L$27="Normal", $C$19*0.47, IF(L$27="En Forme", $C$19*0.52, "0")))</f>
        <v>84.6</v>
      </c>
      <c r="R39" s="3" t="str">
        <f>IF(P$27="Fatigué", "1x10", IF(P$27="Normal", "2x10", IF(P$27="En Forme", "2x10", "0")))</f>
        <v>2x10</v>
      </c>
      <c r="S39" s="3">
        <f>IF(P$27="Fatigué", $C$19*0.33, IF(P$27="Normal", $C$19*0.38, IF(P$27="En Forme", $C$19*0.43, "0")))</f>
        <v>68.400000000000006</v>
      </c>
      <c r="V39" s="3" t="str">
        <f>IF(T$27="Fatigué", "2x10", IF(T$27="Normal", "3x10", IF(T$27="En Forme", "3x10", "0")))</f>
        <v>3x10</v>
      </c>
      <c r="W39" s="3">
        <f>IF(T$27="Fatigué", $C$19*0.45, IF(T$27="Normal", $C$19*0.5, IF(T$27="En Forme", $C$19*0.55, "0")))</f>
        <v>90</v>
      </c>
    </row>
    <row r="40" spans="5:25" ht="27" customHeight="1" x14ac:dyDescent="0.2">
      <c r="E40" s="15"/>
      <c r="F40" s="16"/>
      <c r="G40" s="16"/>
      <c r="K40" s="4"/>
    </row>
    <row r="41" spans="5:25" ht="27" customHeight="1" x14ac:dyDescent="0.2">
      <c r="E41" s="15"/>
      <c r="F41" s="16"/>
      <c r="G41" s="16"/>
      <c r="J41" s="1"/>
      <c r="K41" s="1"/>
      <c r="N41" s="1"/>
      <c r="O41" s="1"/>
      <c r="R41" s="1"/>
      <c r="S41" s="1"/>
      <c r="V41" s="1"/>
      <c r="W41" s="1"/>
    </row>
  </sheetData>
  <mergeCells count="85">
    <mergeCell ref="E37:G37"/>
    <mergeCell ref="E38:G38"/>
    <mergeCell ref="E39:G39"/>
    <mergeCell ref="E40:G40"/>
    <mergeCell ref="E41:G41"/>
    <mergeCell ref="H34:I34"/>
    <mergeCell ref="L34:M34"/>
    <mergeCell ref="P34:Q34"/>
    <mergeCell ref="T34:U34"/>
    <mergeCell ref="E35:G35"/>
    <mergeCell ref="H35:I36"/>
    <mergeCell ref="L35:M36"/>
    <mergeCell ref="P35:Q36"/>
    <mergeCell ref="T35:U36"/>
    <mergeCell ref="E36:G36"/>
    <mergeCell ref="E29:G29"/>
    <mergeCell ref="E30:G30"/>
    <mergeCell ref="E31:G31"/>
    <mergeCell ref="E32:G32"/>
    <mergeCell ref="E33:G33"/>
    <mergeCell ref="E34:G34"/>
    <mergeCell ref="L26:M26"/>
    <mergeCell ref="P26:Q26"/>
    <mergeCell ref="T26:U26"/>
    <mergeCell ref="E27:G27"/>
    <mergeCell ref="H27:I28"/>
    <mergeCell ref="L27:M28"/>
    <mergeCell ref="P27:Q28"/>
    <mergeCell ref="T27:U28"/>
    <mergeCell ref="E28:G28"/>
    <mergeCell ref="E22:G22"/>
    <mergeCell ref="E23:G23"/>
    <mergeCell ref="E24:G24"/>
    <mergeCell ref="E25:G25"/>
    <mergeCell ref="E26:G26"/>
    <mergeCell ref="H26:I26"/>
    <mergeCell ref="L19:M19"/>
    <mergeCell ref="P19:Q19"/>
    <mergeCell ref="T19:U19"/>
    <mergeCell ref="E20:G20"/>
    <mergeCell ref="H20:I21"/>
    <mergeCell ref="L20:M21"/>
    <mergeCell ref="P20:Q21"/>
    <mergeCell ref="T20:U21"/>
    <mergeCell ref="E21:G21"/>
    <mergeCell ref="E15:G15"/>
    <mergeCell ref="E16:G16"/>
    <mergeCell ref="E17:G17"/>
    <mergeCell ref="E18:G18"/>
    <mergeCell ref="E19:G19"/>
    <mergeCell ref="H19:I19"/>
    <mergeCell ref="E13:G13"/>
    <mergeCell ref="H13:I14"/>
    <mergeCell ref="L13:M14"/>
    <mergeCell ref="P13:Q14"/>
    <mergeCell ref="T13:U14"/>
    <mergeCell ref="E14:G14"/>
    <mergeCell ref="E11:G11"/>
    <mergeCell ref="E12:G12"/>
    <mergeCell ref="H12:I12"/>
    <mergeCell ref="L12:M12"/>
    <mergeCell ref="P12:Q12"/>
    <mergeCell ref="T12:U12"/>
    <mergeCell ref="T6:U7"/>
    <mergeCell ref="A7:C7"/>
    <mergeCell ref="E7:G7"/>
    <mergeCell ref="E8:G8"/>
    <mergeCell ref="E9:G9"/>
    <mergeCell ref="E10:G10"/>
    <mergeCell ref="E5:G5"/>
    <mergeCell ref="H5:I5"/>
    <mergeCell ref="L5:M5"/>
    <mergeCell ref="P5:Q5"/>
    <mergeCell ref="T5:U5"/>
    <mergeCell ref="A6:C6"/>
    <mergeCell ref="E6:G6"/>
    <mergeCell ref="H6:I7"/>
    <mergeCell ref="L6:M7"/>
    <mergeCell ref="P6:Q7"/>
    <mergeCell ref="A1:C2"/>
    <mergeCell ref="A3:B3"/>
    <mergeCell ref="J4:K4"/>
    <mergeCell ref="N4:O4"/>
    <mergeCell ref="R4:S4"/>
    <mergeCell ref="V4:W4"/>
  </mergeCells>
  <dataValidations count="1">
    <dataValidation type="list" allowBlank="1" showInputMessage="1" showErrorMessage="1" sqref="H6:I7 H13:I14 H20:I21 H27:I28 T13:U14 L6:M7 L13:M14 L20:M21 L27:M28 T20:U21 P6:Q7 P13:Q14 P20:Q21 P27:Q28 T27:U28 T6:U7 H35:I36 L35:M36 P35:Q36 T35:U36" xr:uid="{29601BA0-99BF-E848-970E-21FDD1C1F2A1}">
      <formula1>"Fatigué, Normal, En Forme"</formula1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F3324E-8BC2-CA45-B08B-3101C6C534FB}">
  <dimension ref="A1:Y41"/>
  <sheetViews>
    <sheetView tabSelected="1" topLeftCell="E2" zoomScale="83" workbookViewId="0">
      <selection activeCell="R6" sqref="R6:S7"/>
    </sheetView>
  </sheetViews>
  <sheetFormatPr baseColWidth="10" defaultColWidth="17.83203125" defaultRowHeight="27" customHeight="1" x14ac:dyDescent="0.2"/>
  <cols>
    <col min="1" max="2" width="17.83203125" style="1"/>
    <col min="3" max="3" width="17.83203125" style="2"/>
    <col min="4" max="4" width="22.5" style="3" customWidth="1"/>
    <col min="5" max="5" width="17.83203125" style="3"/>
    <col min="6" max="6" width="17.83203125" style="4"/>
    <col min="7" max="7" width="18.1640625" style="3" customWidth="1"/>
    <col min="8" max="9" width="10.1640625" style="3" customWidth="1"/>
    <col min="10" max="11" width="17.83203125" style="3"/>
    <col min="12" max="13" width="10.1640625" style="3" customWidth="1"/>
    <col min="14" max="15" width="17.83203125" style="3"/>
    <col min="16" max="17" width="10.1640625" style="3" customWidth="1"/>
    <col min="18" max="19" width="17.83203125" style="3"/>
    <col min="20" max="21" width="10.1640625" style="3" customWidth="1"/>
    <col min="22" max="16384" width="17.83203125" style="3"/>
  </cols>
  <sheetData>
    <row r="1" spans="1:25" ht="27" customHeight="1" x14ac:dyDescent="0.2">
      <c r="A1" s="30" t="s">
        <v>42</v>
      </c>
      <c r="B1" s="30"/>
      <c r="C1" s="30"/>
    </row>
    <row r="2" spans="1:25" ht="27" customHeight="1" x14ac:dyDescent="0.2">
      <c r="A2" s="30"/>
      <c r="B2" s="30"/>
      <c r="C2" s="30"/>
    </row>
    <row r="3" spans="1:25" ht="27" customHeight="1" thickBot="1" x14ac:dyDescent="0.25">
      <c r="A3" s="29"/>
      <c r="B3" s="29"/>
      <c r="F3" s="3"/>
      <c r="I3" s="4"/>
      <c r="J3" s="14">
        <f>DATE(2025, 5, 4)</f>
        <v>45781</v>
      </c>
      <c r="K3" s="14">
        <f>J3+6</f>
        <v>45787</v>
      </c>
      <c r="N3" s="14">
        <f>J3+7</f>
        <v>45788</v>
      </c>
      <c r="O3" s="14">
        <f>K3+7</f>
        <v>45794</v>
      </c>
      <c r="R3" s="14">
        <f>N3+7</f>
        <v>45795</v>
      </c>
      <c r="S3" s="14">
        <f>O3+7</f>
        <v>45801</v>
      </c>
      <c r="V3" s="14">
        <f>R3+7</f>
        <v>45802</v>
      </c>
      <c r="W3" s="14">
        <f>S3+7</f>
        <v>45808</v>
      </c>
    </row>
    <row r="4" spans="1:25" ht="27" customHeight="1" thickBot="1" x14ac:dyDescent="0.25">
      <c r="F4" s="3"/>
      <c r="J4" s="31" t="s">
        <v>2</v>
      </c>
      <c r="K4" s="32"/>
      <c r="N4" s="31" t="s">
        <v>3</v>
      </c>
      <c r="O4" s="32"/>
      <c r="R4" s="31" t="s">
        <v>4</v>
      </c>
      <c r="S4" s="32"/>
      <c r="V4" s="31" t="s">
        <v>5</v>
      </c>
      <c r="W4" s="32"/>
    </row>
    <row r="5" spans="1:25" ht="27" customHeight="1" thickBot="1" x14ac:dyDescent="0.25">
      <c r="E5" s="26" t="s">
        <v>37</v>
      </c>
      <c r="F5" s="27"/>
      <c r="G5" s="28"/>
      <c r="H5" s="20" t="s">
        <v>13</v>
      </c>
      <c r="I5" s="21"/>
      <c r="J5" s="7" t="s">
        <v>0</v>
      </c>
      <c r="K5" s="7" t="s">
        <v>1</v>
      </c>
      <c r="L5" s="20" t="s">
        <v>13</v>
      </c>
      <c r="M5" s="21"/>
      <c r="N5" s="7" t="s">
        <v>0</v>
      </c>
      <c r="O5" s="7" t="s">
        <v>1</v>
      </c>
      <c r="P5" s="20" t="s">
        <v>13</v>
      </c>
      <c r="Q5" s="21"/>
      <c r="R5" s="7" t="s">
        <v>0</v>
      </c>
      <c r="S5" s="7" t="s">
        <v>1</v>
      </c>
      <c r="T5" s="20" t="s">
        <v>13</v>
      </c>
      <c r="U5" s="21"/>
      <c r="V5" s="7" t="s">
        <v>0</v>
      </c>
      <c r="W5" s="7" t="s">
        <v>1</v>
      </c>
      <c r="X5" s="7" t="s">
        <v>14</v>
      </c>
      <c r="Y5" s="7" t="s">
        <v>0</v>
      </c>
    </row>
    <row r="6" spans="1:25" ht="27" customHeight="1" x14ac:dyDescent="0.2">
      <c r="A6" s="29" t="s">
        <v>12</v>
      </c>
      <c r="B6" s="29"/>
      <c r="C6" s="29"/>
      <c r="E6" s="15" t="s">
        <v>62</v>
      </c>
      <c r="F6" s="16"/>
      <c r="G6" s="16"/>
      <c r="H6" s="18" t="s">
        <v>15</v>
      </c>
      <c r="I6" s="22"/>
      <c r="J6" s="3" t="str">
        <f>IF(H$6="Fatigué", "2x[3+2]", IF(H$6="Normal", "3x[3+2]", IF(H$6="En Forme", "3x[3+2]", "0")))</f>
        <v>3x[3+2]</v>
      </c>
      <c r="K6" s="3">
        <f>IF(H$6="Fatigué", $C$11*0.45, IF(H$6="Normal", $C$11*0.5, IF(H$6="En Forme", $C$11*0.55, "0")))</f>
        <v>77.5</v>
      </c>
      <c r="L6" s="18" t="s">
        <v>15</v>
      </c>
      <c r="M6" s="22"/>
      <c r="N6" s="3" t="str">
        <f>IF(L$6="Fatigué", "2x1", IF(L$6="Normal", "2x1", IF(L$6="En Forme", "2x1", "0")))</f>
        <v>2x1</v>
      </c>
      <c r="O6" s="3">
        <f>IF(L$6="Fatigué", $C$11*0.99, IF(L$6="Normal", $C$11*1.04, IF(L$6="En Forme", $C$11*1.07, "0")))</f>
        <v>161.20000000000002</v>
      </c>
      <c r="P6" s="18" t="s">
        <v>15</v>
      </c>
      <c r="Q6" s="22"/>
      <c r="R6" s="3" t="str">
        <f>IF(P$6="Fatigué", "2x1", IF(P$6="Normal", "2x1", IF(P$6="En Forme", "2x1", "0")))</f>
        <v>2x1</v>
      </c>
      <c r="S6" s="3">
        <f>IF(P$6="Fatigué", $C$11*0.99, IF(P$6="Normal", $C$11*1.04, IF(P$6="En Forme", $C$11*1.07, "0")))</f>
        <v>161.20000000000002</v>
      </c>
      <c r="T6" s="18" t="s">
        <v>15</v>
      </c>
      <c r="U6" s="22"/>
      <c r="V6" s="3" t="str">
        <f>IF(T$6="Fatigué", "2x[3+2]", IF(T$6="Normal", "3x[3+2]", IF(T$6="En Forme", "3x[3+2]", "0")))</f>
        <v>3x[3+2]</v>
      </c>
      <c r="W6" s="3">
        <f>IF(T$6="Fatigué", $C$11*0.5, IF(T$6="Normal", $C$11*0.55, IF(T$6="En Forme", $C$11*0.6, "0")))</f>
        <v>85.25</v>
      </c>
      <c r="X6" s="3" t="s">
        <v>19</v>
      </c>
      <c r="Y6" s="3" t="s">
        <v>20</v>
      </c>
    </row>
    <row r="7" spans="1:25" ht="27" customHeight="1" thickBot="1" x14ac:dyDescent="0.25">
      <c r="A7" s="29"/>
      <c r="B7" s="29"/>
      <c r="C7" s="29"/>
      <c r="E7" s="15" t="s">
        <v>62</v>
      </c>
      <c r="F7" s="16"/>
      <c r="G7" s="16"/>
      <c r="H7" s="23"/>
      <c r="I7" s="24"/>
      <c r="J7" s="3" t="str">
        <f>IF(H$6="Fatigué", "4x[2+1]", IF(H$6="Normal", "5x[2+1]", IF(H$6="En Forme", "5x[2+1]", "0")))</f>
        <v>5x[2+1]</v>
      </c>
      <c r="K7" s="3">
        <f>IF(H$6="Fatigué", $C$13*0.72, IF(H$6="Normal", $C$13*0.77, IF(H$6="En Forme", $C$13*0.8, "0")))</f>
        <v>123.2</v>
      </c>
      <c r="L7" s="23"/>
      <c r="M7" s="24"/>
      <c r="N7" s="3" t="str">
        <f>IF(L$6="Fatigué", "4x[2+1]", IF(L$6="Normal", "2x1", IF(L$6="En Forme", "2x1", "0")))</f>
        <v>2x1</v>
      </c>
      <c r="O7" s="3">
        <f>IF(L$6="Fatigué", $C$13*0.74, IF(L$6="Normal", $C$13*0.79, IF(L$6="En Forme", $C$13*0.82, "0")))</f>
        <v>126.4</v>
      </c>
      <c r="P7" s="23"/>
      <c r="Q7" s="24"/>
      <c r="R7" s="3" t="str">
        <f>IF(P$6="Fatigué", "4x[2+1]", IF(P$6="Normal", "2x1", IF(P$6="En Forme", "2x1", "0")))</f>
        <v>2x1</v>
      </c>
      <c r="S7" s="3">
        <f>IF(P$6="Fatigué", $C$13*0.74, IF(P$6="Normal", $C$13*0.79, IF(P$6="En Forme", $C$13*0.82, "0")))</f>
        <v>126.4</v>
      </c>
      <c r="T7" s="23"/>
      <c r="U7" s="24"/>
      <c r="V7" s="3" t="str">
        <f>IF(T$6="Fatigué", "4x[2+1]", IF(T$6="Normal", "5x[2+1]", IF(T$6="En Forme", "5x[2+1]", "0")))</f>
        <v>5x[2+1]</v>
      </c>
      <c r="W7" s="3">
        <f>IF(T$6="Fatigué", $C$13*0.77, IF(T$6="Normal", $C$13*0.82, IF(T$6="En Forme", $C$13*0.85, "0")))</f>
        <v>131.19999999999999</v>
      </c>
      <c r="X7" s="3" t="s">
        <v>28</v>
      </c>
      <c r="Y7" s="3" t="s">
        <v>16</v>
      </c>
    </row>
    <row r="8" spans="1:25" ht="27" customHeight="1" thickBot="1" x14ac:dyDescent="0.25">
      <c r="E8" s="15" t="s">
        <v>61</v>
      </c>
      <c r="F8" s="16"/>
      <c r="G8" s="16"/>
      <c r="J8" s="3" t="str">
        <f>IF(H$6="Fatigué", "2x3", IF(H$6="Normal", "3x3", IF(H$6="En Forme", "3x3", "0")))</f>
        <v>3x3</v>
      </c>
      <c r="K8" s="3">
        <f>IF(H$6="Fatigué", $C$13*1, IF(H$6="Normal", $C$13*1.05, IF(H$6="En Forme", $C$13*1.1, "0")))</f>
        <v>168</v>
      </c>
      <c r="N8" s="3" t="str">
        <f>IF(L$6="Fatigué", "2x3", IF(L$6="Normal", "3x3", IF(L$6="En Forme", "3x3", "0")))</f>
        <v>3x3</v>
      </c>
      <c r="O8" s="3">
        <f>IF(L$6="Fatigué", $C$13*1.02, IF(L$6="Normal", $C$13*1.07, IF(L$6="En Forme", $C$13*1.12, "0")))</f>
        <v>171.20000000000002</v>
      </c>
      <c r="R8" s="3" t="str">
        <f>IF(P$6="Fatigué", "1x3", IF(P$6="Normal", "2x3", IF(P$6="En Forme", "2x3", "0")))</f>
        <v>2x3</v>
      </c>
      <c r="S8" s="3">
        <f>IF(P$6="Fatigué", $C$13*0.93, IF(P$6="Normal", $C$13*0.98, IF(P$6="En Forme", $C$13*1.03, "0")))</f>
        <v>156.80000000000001</v>
      </c>
      <c r="V8" s="3" t="str">
        <f>IF(T$6="Fatigué", "2x3", IF(T$6="Normal", "3x3", IF(T$6="En Forme", "3x3", "0")))</f>
        <v>3x3</v>
      </c>
      <c r="W8" s="3">
        <f>IF(T$6="Fatigué", $C$13*1.05, IF(T$6="Normal", $C$13*1.1, IF(T$6="En Forme", $C$13*1.15, "0")))</f>
        <v>176</v>
      </c>
      <c r="X8" s="3" t="s">
        <v>29</v>
      </c>
      <c r="Y8" s="3" t="s">
        <v>30</v>
      </c>
    </row>
    <row r="9" spans="1:25" ht="27" customHeight="1" thickBot="1" x14ac:dyDescent="0.25">
      <c r="A9" s="10" t="s">
        <v>6</v>
      </c>
      <c r="B9" s="11"/>
      <c r="C9" s="5">
        <v>125</v>
      </c>
      <c r="D9" s="6"/>
      <c r="E9" s="15" t="s">
        <v>63</v>
      </c>
      <c r="F9" s="16"/>
      <c r="G9" s="16"/>
      <c r="J9" s="3" t="str">
        <f>IF(H$6="Fatigué", "3x2", IF(H$6="Normal", "3x2", IF(H$6="En Forme", "4x2", "0")))</f>
        <v>3x2</v>
      </c>
      <c r="K9" s="3">
        <f>IF(H$6="Fatigué", $C$9*0.72, IF(H$6="Normal", $C$9*0.77, IF(H$6="En Forme", $C$9*0.8, "0")))</f>
        <v>96.25</v>
      </c>
      <c r="N9" s="3" t="str">
        <f>IF(L$6="Fatigué", "3x2", IF(L$6="Normal", "3x2", IF(L$6="En Forme", "4x2", "0")))</f>
        <v>3x2</v>
      </c>
      <c r="O9" s="3">
        <f>IF(L$6="Fatigué", $C$9*0.74, IF(L$6="Normal", $C$9*0.79, IF(L$6="En Forme", $C$9*0.82, "0")))</f>
        <v>98.75</v>
      </c>
      <c r="R9" s="3" t="str">
        <f>IF(P$6="Fatigué", "2x2", IF(P$6="Normal", "2x2", IF(P$6="En Forme", "3x2", "0")))</f>
        <v>2x2</v>
      </c>
      <c r="S9" s="3">
        <f>IF(P$6="Fatigué", $C$9*0.65, IF(P$6="Normal", $C$9*0.7, IF(P$6="En Forme", $C$9*0.73, "0")))</f>
        <v>87.5</v>
      </c>
      <c r="V9" s="3" t="str">
        <f>IF(T$6="Fatigué", "3x2", IF(T$6="Normal", "3x2", IF(T$6="En Forme", "4x2", "0")))</f>
        <v>3x2</v>
      </c>
      <c r="W9" s="3">
        <f>IF(T$6="Fatigué", $C$9*0.77, IF(T$6="Normal", $C$9*0.82, IF(T$6="En Forme", $C$9*0.85, "0")))</f>
        <v>102.5</v>
      </c>
    </row>
    <row r="10" spans="1:25" ht="27" customHeight="1" thickBot="1" x14ac:dyDescent="0.25">
      <c r="E10" s="15" t="s">
        <v>10</v>
      </c>
      <c r="F10" s="16"/>
      <c r="G10" s="16"/>
      <c r="J10" s="3" t="str">
        <f>IF(H$6="Fatigué", "3x8", IF(H$6="Normal", "4x8", IF(H$6="En Forme", "4x8", "0")))</f>
        <v>4x8</v>
      </c>
      <c r="K10" s="3">
        <f>IF(H$6="Fatigué", $C$17*0.65, IF(H$6="Normal", $C$17*0.7, IF(H$6="En Forme", $C$17*0.75, "0")))</f>
        <v>147</v>
      </c>
      <c r="N10" s="3" t="str">
        <f>IF(L$6="Fatigué", "3x8", IF(L$6="Normal", "4x8", IF(L$6="En Forme", "4x8", "0")))</f>
        <v>4x8</v>
      </c>
      <c r="O10" s="3">
        <f>IF(L$6="Fatigué", $C$17*0.67, IF(L$6="Normal", $C$17*0.72, IF(L$6="En Forme", $C$17*0.77, "0")))</f>
        <v>151.19999999999999</v>
      </c>
      <c r="R10" s="3" t="str">
        <f>IF(P$6="Fatigué", "2x8", IF(P$6="Normal", "2x8", IF(P$6="En Forme", "3x8", "0")))</f>
        <v>2x8</v>
      </c>
      <c r="S10" s="3">
        <f>IF(P$6="Fatigué", $C$17*0.58, IF(P$6="Normal", $C$17*0.63, IF(P$6="En Forme", $C$17*0.68, "0")))</f>
        <v>132.30000000000001</v>
      </c>
      <c r="V10" s="3" t="str">
        <f>IF(T$6="Fatigué", "3x8", IF(T$6="Normal", "4x8", IF(T$6="En Forme", "4x8", "0")))</f>
        <v>4x8</v>
      </c>
      <c r="W10" s="3">
        <f>IF(T$6="Fatigué", $C$17*0.7, IF(T$6="Normal", $C$17*0.75, IF(T$6="En Forme", $C$17*0.8, "0")))</f>
        <v>157.5</v>
      </c>
    </row>
    <row r="11" spans="1:25" ht="27" customHeight="1" thickBot="1" x14ac:dyDescent="0.25">
      <c r="A11" s="10" t="s">
        <v>7</v>
      </c>
      <c r="B11" s="11"/>
      <c r="C11" s="2">
        <v>155</v>
      </c>
      <c r="D11" s="12"/>
      <c r="E11" s="17"/>
      <c r="F11" s="17"/>
      <c r="G11" s="17"/>
      <c r="K11" s="4"/>
    </row>
    <row r="12" spans="1:25" ht="27" customHeight="1" thickBot="1" x14ac:dyDescent="0.25">
      <c r="C12" s="8"/>
      <c r="E12" s="26" t="s">
        <v>38</v>
      </c>
      <c r="F12" s="27"/>
      <c r="G12" s="28"/>
      <c r="H12" s="20" t="s">
        <v>13</v>
      </c>
      <c r="I12" s="21"/>
      <c r="J12" s="7" t="s">
        <v>0</v>
      </c>
      <c r="K12" s="7" t="s">
        <v>1</v>
      </c>
      <c r="L12" s="20" t="s">
        <v>13</v>
      </c>
      <c r="M12" s="21"/>
      <c r="N12" s="7" t="s">
        <v>0</v>
      </c>
      <c r="O12" s="7" t="s">
        <v>1</v>
      </c>
      <c r="P12" s="20" t="s">
        <v>13</v>
      </c>
      <c r="Q12" s="21"/>
      <c r="R12" s="7" t="s">
        <v>0</v>
      </c>
      <c r="S12" s="7" t="s">
        <v>1</v>
      </c>
      <c r="T12" s="20" t="s">
        <v>13</v>
      </c>
      <c r="U12" s="21"/>
      <c r="V12" s="7" t="s">
        <v>0</v>
      </c>
      <c r="W12" s="7" t="s">
        <v>1</v>
      </c>
      <c r="X12" s="7" t="s">
        <v>14</v>
      </c>
      <c r="Y12" s="7" t="s">
        <v>0</v>
      </c>
    </row>
    <row r="13" spans="1:25" ht="27" customHeight="1" thickBot="1" x14ac:dyDescent="0.25">
      <c r="A13" s="10" t="s">
        <v>8</v>
      </c>
      <c r="B13" s="11"/>
      <c r="C13" s="9">
        <v>160</v>
      </c>
      <c r="E13" s="18" t="s">
        <v>54</v>
      </c>
      <c r="F13" s="19"/>
      <c r="G13" s="19"/>
      <c r="H13" s="18" t="s">
        <v>15</v>
      </c>
      <c r="I13" s="22"/>
      <c r="J13" s="3" t="str">
        <f>IF(H$13="Fatigué", "5x1", IF(H$13="Normal", "7x1", IF(H$13="En Forme", "7x1", "0")))</f>
        <v>7x1</v>
      </c>
      <c r="K13" s="3">
        <f>IF(H$13="Fatigué", $C$9*0.88, IF(H$13="Normal", $C$9*0.92, IF(H$13="En Forme", $C$9*0.94, "0")))</f>
        <v>115</v>
      </c>
      <c r="L13" s="18" t="s">
        <v>15</v>
      </c>
      <c r="M13" s="22"/>
      <c r="P13" s="18" t="s">
        <v>15</v>
      </c>
      <c r="Q13" s="22"/>
      <c r="T13" s="18" t="s">
        <v>15</v>
      </c>
      <c r="U13" s="22"/>
      <c r="X13" s="3" t="s">
        <v>18</v>
      </c>
      <c r="Y13" s="3" t="s">
        <v>16</v>
      </c>
    </row>
    <row r="14" spans="1:25" ht="27" customHeight="1" thickBot="1" x14ac:dyDescent="0.25">
      <c r="C14" s="8"/>
      <c r="E14" s="15" t="s">
        <v>48</v>
      </c>
      <c r="F14" s="16"/>
      <c r="G14" s="16"/>
      <c r="H14" s="23"/>
      <c r="I14" s="24"/>
      <c r="J14" s="3" t="str">
        <f>IF(H$13="Fatigué", "2x[2+2+1]", IF(H$13="Normal", "3x[2+2+1]", IF(H$13="En Forme", "3x[2+2+1]", "0")))</f>
        <v>3x[2+2+1]</v>
      </c>
      <c r="K14" s="3">
        <f>IF(H$13="Fatigué", $C$11*0.6, IF(H$13="Normal", $C$11*0.65, IF(H$13="En Forme", $C$11*0.68, "0")))</f>
        <v>100.75</v>
      </c>
      <c r="L14" s="23"/>
      <c r="M14" s="24"/>
      <c r="N14" s="3" t="str">
        <f>IF(L$13="Fatigué", "2x[2+2+1]", IF(L$13="Normal", "3x[2+2+1]", IF(L$13="En Forme", "3x[2+2+1]", "0")))</f>
        <v>3x[2+2+1]</v>
      </c>
      <c r="O14" s="3">
        <f>IF(L$13="Fatigué", $C$11*0.62, IF(L$13="Normal", $C$11*0.67, IF(L$13="En Forme", $C$11*0.7, "0")))</f>
        <v>103.85000000000001</v>
      </c>
      <c r="P14" s="23"/>
      <c r="Q14" s="24"/>
      <c r="R14" s="3" t="str">
        <f>IF(P$13="Fatigué", "1x[2+2+1]", IF(P$13="Normal", "2x[2+2+1]", IF(P$13="En Forme", "2x[2+2+1]", "0")))</f>
        <v>2x[2+2+1]</v>
      </c>
      <c r="S14" s="3">
        <f>IF(P$13="Fatigué", $C$11*0.53, IF(P$13="Normal", $C$11*0.58, IF(P$13="En Forme", $C$11*0.61, "0")))</f>
        <v>89.899999999999991</v>
      </c>
      <c r="T14" s="23"/>
      <c r="U14" s="24"/>
      <c r="V14" s="3" t="str">
        <f>IF(T$13="Fatigué", "2x[2+2+1]", IF(T$13="Normal", "3x[2+2+1]", IF(T$13="En Forme", "3x[2+2+1]", "0")))</f>
        <v>3x[2+2+1]</v>
      </c>
      <c r="W14" s="3">
        <f>IF(T$13="Fatigué", $C$11*0.65, IF(T$13="Normal", $C$11*0.7, IF(T$13="En Forme", $C$11*0.73, "0")))</f>
        <v>108.5</v>
      </c>
      <c r="X14" s="3" t="s">
        <v>25</v>
      </c>
      <c r="Y14" s="3" t="s">
        <v>17</v>
      </c>
    </row>
    <row r="15" spans="1:25" ht="27" customHeight="1" thickBot="1" x14ac:dyDescent="0.25">
      <c r="A15" s="10" t="s">
        <v>9</v>
      </c>
      <c r="B15" s="11"/>
      <c r="C15" s="9">
        <v>170</v>
      </c>
      <c r="E15" s="15" t="s">
        <v>64</v>
      </c>
      <c r="F15" s="16"/>
      <c r="G15" s="16"/>
      <c r="J15" s="3" t="str">
        <f>IF(H$13="Fatigué", "3x2", IF(H$13="Normal", "4x2", IF(H$13="En Forme", "4x2", "0")))</f>
        <v>4x2</v>
      </c>
      <c r="K15" s="3">
        <f>IF(H$13="Fatigué", $C$11*0.7, IF(H$13="Normal", $C$11*0.75, IF(H$13="En Forme", $C$11*0.8, "0")))</f>
        <v>116.25</v>
      </c>
      <c r="N15" s="3" t="str">
        <f>IF(L$13="Fatigué", "3x2", IF(L$13="Normal", "4x2", IF(L$13="En Forme", "4x2", "0")))</f>
        <v>4x2</v>
      </c>
      <c r="O15" s="3">
        <f>IF(L$13="Fatigué", $C$11*0.72, IF(L$13="Normal", $C$11*0.77, IF(L$13="En Forme", $C$11*0.82, "0")))</f>
        <v>119.35000000000001</v>
      </c>
      <c r="R15" s="3" t="str">
        <f>IF(P$13="Fatigué", "2x2", IF(P$13="Normal", "3x2", IF(P$13="En Forme", "3x2", "0")))</f>
        <v>3x2</v>
      </c>
      <c r="S15" s="3">
        <f>IF(P$13="Fatigué", $C$11*0.63, IF(P$13="Normal", $C$11*0.68, IF(P$13="En Forme", $C$11*0.73, "0")))</f>
        <v>105.4</v>
      </c>
      <c r="V15" s="3" t="str">
        <f>IF(T$13="Fatigué", "3x2", IF(T$13="Normal", "4x2", IF(T$13="En Forme", "4x2", "0")))</f>
        <v>4x2</v>
      </c>
      <c r="W15" s="3">
        <f>IF(T$13="Fatigué", $C$11*0.75, IF(T$13="Normal", $C$11*0.8, IF(T$13="En Forme", $C$11*0.85, "0")))</f>
        <v>124</v>
      </c>
      <c r="X15" s="3" t="s">
        <v>26</v>
      </c>
      <c r="Y15" s="3" t="s">
        <v>17</v>
      </c>
    </row>
    <row r="16" spans="1:25" ht="27" customHeight="1" thickBot="1" x14ac:dyDescent="0.25">
      <c r="C16" s="8"/>
      <c r="E16" s="15" t="s">
        <v>65</v>
      </c>
      <c r="F16" s="16"/>
      <c r="G16" s="16"/>
      <c r="J16" s="3" t="str">
        <f>IF(H$13="Fatigué", "3x1", IF(H$13="Normal", "3x1", IF(H$13="En Forme", "4x1", "0")))</f>
        <v>3x1</v>
      </c>
      <c r="K16" s="3">
        <f>IF(H$13="Fatigué", $C$9*0.85, IF(H$13="Normal", $C$9*0.9, IF(H$13="En Forme", $C$9*0.93, "0")))</f>
        <v>112.5</v>
      </c>
      <c r="N16" s="3" t="str">
        <f>IF(L$13="Fatigué", "3x1", IF(L$13="Normal", "3x1", IF(L$13="En Forme", "4x1", "0")))</f>
        <v>3x1</v>
      </c>
      <c r="O16" s="3">
        <f>IF(L$13="Fatigué", $C$9*0.87, IF(L$13="Normal", $C$9*0.92, IF(L$13="En Forme", $C$9*0.95, "0")))</f>
        <v>115</v>
      </c>
      <c r="R16" s="3" t="str">
        <f>IF(P$13="Fatigué", "2x1", IF(P$13="Normal", "2x1", IF(P$13="En Forme", "3x1", "0")))</f>
        <v>2x1</v>
      </c>
      <c r="S16" s="3">
        <f>IF(P$13="Fatigué", $C$9*0.78, IF(P$13="Normal", $C$9*0.83, IF(P$13="En Forme", $C$9*0.86, "0")))</f>
        <v>103.75</v>
      </c>
      <c r="V16" s="3" t="str">
        <f>IF(T$13="Fatigué", "3x1", IF(T$13="Normal", "3x1", IF(T$13="En Forme", "4x1", "0")))</f>
        <v>3x1</v>
      </c>
      <c r="W16" s="3">
        <f>IF(T$13="Fatigué", $C$9*0.9, IF(T$13="Normal", $C$9*0.95, IF(T$13="En Forme", $C$9*0.98, "0")))</f>
        <v>118.75</v>
      </c>
      <c r="X16" s="3" t="s">
        <v>31</v>
      </c>
      <c r="Y16" s="3" t="s">
        <v>16</v>
      </c>
    </row>
    <row r="17" spans="1:25" ht="27" customHeight="1" thickBot="1" x14ac:dyDescent="0.25">
      <c r="A17" s="10" t="s">
        <v>10</v>
      </c>
      <c r="B17" s="11"/>
      <c r="C17" s="2">
        <v>210</v>
      </c>
      <c r="D17" s="6"/>
      <c r="E17" s="15" t="s">
        <v>66</v>
      </c>
      <c r="F17" s="16"/>
      <c r="G17" s="16"/>
      <c r="J17" s="3" t="str">
        <f>IF(H$13="Fatigué", "2x3", IF(H$13="Normal", "2x3", IF(H$13="En Forme", "3x3", "0")))</f>
        <v>2x3</v>
      </c>
      <c r="K17" s="3">
        <f>IF(H$13="Fatigué", $C$9*0.9, IF(H$13="Normal", $C$9*0.95, IF(H$13="En Forme", $C$9*1, "0")))</f>
        <v>118.75</v>
      </c>
      <c r="N17" s="3" t="str">
        <f>IF(L$13="Fatigué", "2x3", IF(L$13="Normal", "2x3", IF(L$13="En Forme", "3x3", "0")))</f>
        <v>2x3</v>
      </c>
      <c r="O17" s="3">
        <f>IF(L$13="Fatigué", $C$9*0.92, IF(L$13="Normal", $C$9*0.97, IF(L$13="En Forme", $C$9*1.02, "0")))</f>
        <v>121.25</v>
      </c>
      <c r="R17" s="3" t="str">
        <f>IF(P$13="Fatigué", "1x3", IF(P$13="Normal", "1x3", IF(P$13="En Forme", "2x3", "0")))</f>
        <v>1x3</v>
      </c>
      <c r="S17" s="3">
        <f>IF(P$13="Fatigué", $C$9*0.83, IF(P$13="Normal", $C$9*0.88, IF(P$13="En Forme", $C$9*0.93, "0")))</f>
        <v>110</v>
      </c>
      <c r="V17" s="3" t="str">
        <f>IF(T$13="Fatigué", "2x3", IF(T$13="Normal", "2x3", IF(T$13="En Forme", "3x3", "0")))</f>
        <v>2x3</v>
      </c>
      <c r="W17" s="3">
        <f>IF(T$13="Fatigué", $C$9*0.95, IF(T$13="Normal", $C$9*1, IF(T$13="En Forme", $C$9*1.05, "0")))</f>
        <v>125</v>
      </c>
    </row>
    <row r="18" spans="1:25" ht="27" customHeight="1" thickBot="1" x14ac:dyDescent="0.25">
      <c r="C18" s="8"/>
      <c r="E18" s="15"/>
      <c r="F18" s="16"/>
      <c r="G18" s="16"/>
      <c r="N18" s="3" t="str">
        <f>IF(L$13="Fatigué", "3x5", IF(L$13="Normal", "4x5", IF(L$13="En Forme", "4x5", "0")))</f>
        <v>4x5</v>
      </c>
      <c r="O18" s="3">
        <f>IF(L$13="Fatigué", $C$19*0.67, IF(L$13="Normal", $C$19*0.72, IF(L$13="En Forme", $C$19*0.77, "0")))</f>
        <v>129.6</v>
      </c>
      <c r="R18" s="3" t="str">
        <f>IF(P$13="Fatigué", "2x5", IF(P$13="Normal", "3x5", IF(P$13="En Forme", "3x5", "0")))</f>
        <v>3x5</v>
      </c>
      <c r="S18" s="3">
        <f>IF(P$13="Fatigué", $C$19*0.58, IF(P$13="Normal", $C$19*0.63, IF(P$13="En Forme", $C$19*0.68, "0")))</f>
        <v>113.4</v>
      </c>
      <c r="V18" s="3" t="str">
        <f>IF(T$13="Fatigué", "3x5", IF(T$13="Normal", "4x5", IF(T$13="En Forme", "4x5", "0")))</f>
        <v>4x5</v>
      </c>
      <c r="W18" s="3">
        <f>IF(T$13="Fatigué", $C$19*0.7, IF(T$13="Normal", $C$19*0.75, IF(T$13="En Forme", $C$19*0.8, "0")))</f>
        <v>135</v>
      </c>
    </row>
    <row r="19" spans="1:25" ht="27" customHeight="1" thickBot="1" x14ac:dyDescent="0.25">
      <c r="A19" s="10" t="s">
        <v>11</v>
      </c>
      <c r="B19" s="11"/>
      <c r="C19" s="5">
        <v>180</v>
      </c>
      <c r="D19" s="6"/>
      <c r="E19" s="26" t="s">
        <v>41</v>
      </c>
      <c r="F19" s="27"/>
      <c r="G19" s="28"/>
      <c r="H19" s="20" t="s">
        <v>13</v>
      </c>
      <c r="I19" s="21"/>
      <c r="J19" s="7" t="s">
        <v>0</v>
      </c>
      <c r="K19" s="7" t="s">
        <v>1</v>
      </c>
      <c r="L19" s="20" t="s">
        <v>13</v>
      </c>
      <c r="M19" s="21"/>
      <c r="N19" s="7" t="s">
        <v>0</v>
      </c>
      <c r="O19" s="7" t="s">
        <v>1</v>
      </c>
      <c r="P19" s="20" t="s">
        <v>13</v>
      </c>
      <c r="Q19" s="21"/>
      <c r="R19" s="7" t="s">
        <v>0</v>
      </c>
      <c r="S19" s="7" t="s">
        <v>1</v>
      </c>
      <c r="T19" s="20" t="s">
        <v>13</v>
      </c>
      <c r="U19" s="21"/>
      <c r="V19" s="7" t="s">
        <v>0</v>
      </c>
      <c r="W19" s="7" t="s">
        <v>1</v>
      </c>
      <c r="X19" s="7" t="s">
        <v>14</v>
      </c>
      <c r="Y19" s="7" t="s">
        <v>0</v>
      </c>
    </row>
    <row r="20" spans="1:25" ht="27" customHeight="1" x14ac:dyDescent="0.2">
      <c r="E20" s="18" t="s">
        <v>67</v>
      </c>
      <c r="F20" s="19"/>
      <c r="G20" s="19"/>
      <c r="H20" s="18" t="s">
        <v>15</v>
      </c>
      <c r="I20" s="22"/>
      <c r="J20" s="3" t="str">
        <f>IF(H$20="Fatigué", "4x5", IF(H$20="Normal", "5x5", IF(H$20="En Forme", "5x5", "0")))</f>
        <v>5x5</v>
      </c>
      <c r="K20" s="3">
        <f>IF(H$20="Fatigué", $C$17*0.72, IF(H$20="Normal", $C$17*0.77, IF(H$20="En Forme", $C$17*0.8, "0")))</f>
        <v>161.70000000000002</v>
      </c>
      <c r="L20" s="18" t="s">
        <v>15</v>
      </c>
      <c r="M20" s="22"/>
      <c r="N20" s="3" t="str">
        <f>IF(L$20="Fatigué", "4x5", IF(L$20="Normal", "5x5", IF(L$20="En Forme", "5x5", "0")))</f>
        <v>5x5</v>
      </c>
      <c r="O20" s="3">
        <f>IF(L$20="Fatigué", $C$17*0.74, IF(L$20="Normal", $C$17*0.79, IF(L$20="En Forme", $C$17*0.82, "0")))</f>
        <v>165.9</v>
      </c>
      <c r="P20" s="18" t="s">
        <v>15</v>
      </c>
      <c r="Q20" s="22"/>
      <c r="R20" s="3" t="str">
        <f>IF(P$20="Fatigué", "2x5", IF(P$20="Normal", "3x5", IF(P$20="En Forme", "3x5", "0")))</f>
        <v>3x5</v>
      </c>
      <c r="S20" s="3">
        <f>IF(P$20="Fatigué", $C$17*0.65, IF(P$20="Normal", $C$17*0.7, IF(P$20="En Forme", $C$17*0.73, "0")))</f>
        <v>147</v>
      </c>
      <c r="T20" s="18" t="s">
        <v>15</v>
      </c>
      <c r="U20" s="22"/>
      <c r="V20" s="3" t="str">
        <f>IF(T$20="Fatigué", "4x5", IF(T$20="Normal", "5x5", IF(T$20="En Forme", "5x5", "0")))</f>
        <v>5x5</v>
      </c>
      <c r="W20" s="3">
        <f>IF(T$20="Fatigué", $C$17*0.77, IF(T$20="Normal", $C$17*0.82, IF(T$20="En Forme", $C$17*0.85, "0")))</f>
        <v>172.2</v>
      </c>
      <c r="X20" s="3" t="s">
        <v>27</v>
      </c>
      <c r="Y20" s="3" t="s">
        <v>17</v>
      </c>
    </row>
    <row r="21" spans="1:25" ht="27" customHeight="1" thickBot="1" x14ac:dyDescent="0.25">
      <c r="D21" s="13"/>
      <c r="E21" s="15" t="s">
        <v>68</v>
      </c>
      <c r="F21" s="16"/>
      <c r="G21" s="16"/>
      <c r="H21" s="23"/>
      <c r="I21" s="24"/>
      <c r="J21" s="3" t="str">
        <f>IF(H$20="Fatigué", "3x2", IF(H$20="Normal", "4x2", IF(H$20="En Forme", "4x2", "0")))</f>
        <v>4x2</v>
      </c>
      <c r="K21" s="3">
        <f>IF(H$20="Fatigué", $C$9*0.75, IF(H$20="Normal", $C$9*0.8, IF(H$20="En Forme", $C$9*0.85, "0")))</f>
        <v>100</v>
      </c>
      <c r="L21" s="23"/>
      <c r="M21" s="24"/>
      <c r="N21" s="3" t="str">
        <f>IF(L$20="Fatigué", "3x2", IF(L$20="Normal", "4x2", IF(L$20="En Forme", "4x2", "0")))</f>
        <v>4x2</v>
      </c>
      <c r="O21" s="3">
        <f>IF(L$20="Fatigué", $C$9*0.77, IF(L$20="Normal", $C$9*0.82, IF(L$20="En Forme", $C$9*0.87, "0")))</f>
        <v>102.5</v>
      </c>
      <c r="P21" s="23"/>
      <c r="Q21" s="24"/>
      <c r="R21" s="3" t="str">
        <f>IF(P$20="Fatigué", "2x2", IF(P$20="Normal", "3x2", IF(P$20="En Forme", "3x2", "0")))</f>
        <v>3x2</v>
      </c>
      <c r="S21" s="3">
        <f>IF(P$20="Fatigué", $C$9*0.68, IF(P$20="Normal", $C$9*0.73, IF(P$20="En Forme", $C$9*0.78, "0")))</f>
        <v>91.25</v>
      </c>
      <c r="T21" s="23"/>
      <c r="U21" s="24"/>
      <c r="V21" s="3" t="str">
        <f>IF(T$20="Fatigué", "3x2", IF(T$20="Normal", "4x2", IF(T$20="En Forme", "4x2", "0")))</f>
        <v>4x2</v>
      </c>
      <c r="W21" s="3">
        <f>IF(T$20="Fatigué", $C$9*0.8, IF(T$20="Normal", $C$9*0.85, IF(T$20="En Forme", $C$9*0.9, "0")))</f>
        <v>106.25</v>
      </c>
      <c r="X21" s="3" t="s">
        <v>33</v>
      </c>
      <c r="Y21" s="3" t="s">
        <v>34</v>
      </c>
    </row>
    <row r="22" spans="1:25" ht="27" customHeight="1" x14ac:dyDescent="0.2">
      <c r="E22" s="15" t="s">
        <v>48</v>
      </c>
      <c r="F22" s="16"/>
      <c r="G22" s="16"/>
      <c r="J22" s="3" t="str">
        <f>IF(H$20="Fatigué", "2x2", IF(H$20="Normal", "2x2", IF(H$20="En Forme", "2x2", "0")))</f>
        <v>2x2</v>
      </c>
      <c r="K22" s="3">
        <f>IF(H$20="Fatigué", $C$9*0.98, IF(H$20="Normal", $C$9*1.03, IF(H$20="En Forme", $C$9*1.06, "0")))</f>
        <v>128.75</v>
      </c>
      <c r="N22" s="3" t="str">
        <f>IF(L$20="Fatigué", "2x2", IF(L$20="Normal", "2x2", IF(L$20="En Forme", "2x2", "0")))</f>
        <v>2x2</v>
      </c>
      <c r="O22" s="3">
        <f>IF(L$20="Fatigué", $C$9*1, IF(L$20="Normal", $C$9*1.05, IF(L$20="En Forme", $C$9*1.08, "0")))</f>
        <v>131.25</v>
      </c>
      <c r="R22" s="3" t="str">
        <f>IF(P$20="Fatigué", "1x2", IF(P$20="Normal", "1x2", IF(P$20="En Forme", "1x2", "0")))</f>
        <v>1x2</v>
      </c>
      <c r="S22" s="3">
        <f>IF(P$20="Fatigué", $C$9*0.91, IF(P$20="Normal", $C$9*0.96, IF(P$20="En Forme", $C$9*0.99, "0")))</f>
        <v>120</v>
      </c>
      <c r="V22" s="3" t="str">
        <f>IF(T$20="Fatigué", "2x2", IF(T$20="Normal", "2x2", IF(T$20="En Forme", "2x2", "0")))</f>
        <v>2x2</v>
      </c>
      <c r="W22" s="3">
        <f>IF(T$20="Fatigué", $C$9*1.03, IF(T$20="Normal", $C$9*1.08, IF(T$20="En Forme", $C$9*1.11, "0")))</f>
        <v>135</v>
      </c>
      <c r="X22" s="3" t="s">
        <v>35</v>
      </c>
      <c r="Y22" s="3" t="s">
        <v>16</v>
      </c>
    </row>
    <row r="23" spans="1:25" ht="27" customHeight="1" x14ac:dyDescent="0.2">
      <c r="D23" s="13"/>
      <c r="E23" s="15" t="s">
        <v>69</v>
      </c>
      <c r="F23" s="16"/>
      <c r="G23" s="16"/>
      <c r="J23" s="3" t="str">
        <f>IF(H$20="Fatigué", "2x5", IF(H$20="Normal", "3x5", IF(H$20="En Forme", "3x5", "0")))</f>
        <v>3x5</v>
      </c>
      <c r="K23" s="3">
        <f>IF(H$20="Fatigué", $C$11*0.55, IF(H$20="Normal", $C$11*0.6, IF(H$20="En Forme", $C$11*0.65, "0")))</f>
        <v>93</v>
      </c>
      <c r="N23" s="3" t="str">
        <f>IF(L$20="Fatigué", "2x5", IF(L$20="Normal", "3x5", IF(L$20="En Forme", "3x5", "0")))</f>
        <v>3x5</v>
      </c>
      <c r="O23" s="3">
        <f>IF(L$20="Fatigué", $C$11*0.57, IF(L$20="Normal", $C$11*0.62, IF(L$20="En Forme", $C$11*0.67, "0")))</f>
        <v>96.1</v>
      </c>
      <c r="R23" s="3" t="str">
        <f>IF(P$20="Fatigué", "1x5", IF(P$20="Normal", "2x5", IF(P$20="En Forme", "2x5", "0")))</f>
        <v>2x5</v>
      </c>
      <c r="S23" s="3">
        <f>IF(P$20="Fatigué", $C$11*0.48, IF(P$20="Normal", $C$11*0.53, IF(P$20="En Forme", $C$11*0.58, "0")))</f>
        <v>82.15</v>
      </c>
      <c r="V23" s="3" t="str">
        <f>IF(T$20="Fatigué", "2x5", IF(T$20="Normal", "3x5", IF(T$20="En Forme", "3x5", "0")))</f>
        <v>3x5</v>
      </c>
      <c r="W23" s="3">
        <f>IF(T$20="Fatigué", $C$11*0.6, IF(T$20="Normal", $C$11*0.65, IF(T$20="En Forme", $C$11*0.7, "0")))</f>
        <v>100.75</v>
      </c>
      <c r="X23" s="3" t="s">
        <v>36</v>
      </c>
      <c r="Y23" s="3" t="s">
        <v>16</v>
      </c>
    </row>
    <row r="24" spans="1:25" ht="27" customHeight="1" x14ac:dyDescent="0.2">
      <c r="E24" s="15"/>
      <c r="F24" s="16"/>
      <c r="G24" s="16"/>
    </row>
    <row r="25" spans="1:25" ht="27" customHeight="1" thickBot="1" x14ac:dyDescent="0.25">
      <c r="E25" s="17"/>
      <c r="F25" s="17"/>
      <c r="G25" s="17"/>
      <c r="K25" s="4"/>
    </row>
    <row r="26" spans="1:25" ht="27" customHeight="1" thickBot="1" x14ac:dyDescent="0.25">
      <c r="E26" s="26" t="s">
        <v>40</v>
      </c>
      <c r="F26" s="27"/>
      <c r="G26" s="28"/>
      <c r="H26" s="20" t="s">
        <v>13</v>
      </c>
      <c r="I26" s="21"/>
      <c r="J26" s="7" t="s">
        <v>0</v>
      </c>
      <c r="K26" s="7" t="s">
        <v>1</v>
      </c>
      <c r="L26" s="20" t="s">
        <v>13</v>
      </c>
      <c r="M26" s="21"/>
      <c r="N26" s="7" t="s">
        <v>0</v>
      </c>
      <c r="O26" s="7" t="s">
        <v>1</v>
      </c>
      <c r="P26" s="20" t="s">
        <v>13</v>
      </c>
      <c r="Q26" s="21"/>
      <c r="R26" s="7" t="s">
        <v>0</v>
      </c>
      <c r="S26" s="7" t="s">
        <v>1</v>
      </c>
      <c r="T26" s="20" t="s">
        <v>13</v>
      </c>
      <c r="U26" s="21"/>
      <c r="V26" s="7" t="s">
        <v>0</v>
      </c>
      <c r="W26" s="7" t="s">
        <v>1</v>
      </c>
      <c r="X26" s="7" t="s">
        <v>14</v>
      </c>
      <c r="Y26" s="7" t="s">
        <v>0</v>
      </c>
    </row>
    <row r="27" spans="1:25" ht="27" customHeight="1" x14ac:dyDescent="0.2">
      <c r="E27" s="18" t="s">
        <v>50</v>
      </c>
      <c r="F27" s="19"/>
      <c r="G27" s="19"/>
      <c r="H27" s="18" t="s">
        <v>15</v>
      </c>
      <c r="I27" s="22"/>
      <c r="J27" s="3" t="str">
        <f>IF(H$27="Fatigué", "2x3", IF(H$27="Normal", "3x3", IF(H$27="En Forme", "3x3", "0")))</f>
        <v>3x3</v>
      </c>
      <c r="K27" s="3">
        <f>IF(H$27="Fatigué", $C$11*0.25, IF(H$27="Normal", $C$11*0.3, IF(H$27="En Forme", $C$11*0.35, "0")))</f>
        <v>46.5</v>
      </c>
      <c r="L27" s="18" t="s">
        <v>15</v>
      </c>
      <c r="M27" s="22"/>
      <c r="N27" s="3" t="str">
        <f>IF(L$27="Fatigué", "2x3", IF(L$27="Normal", "3x3", IF(L$27="En Forme", "3x3", "0")))</f>
        <v>3x3</v>
      </c>
      <c r="O27" s="3">
        <f>IF(L$27="Fatigué", $C$11*0.27, IF(L$27="Normal", $C$11*0.32, IF(L$27="En Forme", $C$11*0.37, "0")))</f>
        <v>49.6</v>
      </c>
      <c r="P27" s="18" t="s">
        <v>15</v>
      </c>
      <c r="Q27" s="22"/>
      <c r="R27" s="3" t="str">
        <f>IF(P$27="Fatigué", "1x3", IF(P$27="Normal", "2x3", IF(P$27="En Forme", "2x3", "0")))</f>
        <v>2x3</v>
      </c>
      <c r="S27" s="3">
        <f>IF(P$27="Fatigué", $C$11*0.2, IF(P$27="Normal", $C$11*0.25, IF(P$27="En Forme", $C$11*0.3, "0")))</f>
        <v>38.75</v>
      </c>
      <c r="T27" s="18" t="s">
        <v>15</v>
      </c>
      <c r="U27" s="22"/>
      <c r="V27" s="3" t="str">
        <f>IF(T$27="Fatigué", "2x3", IF(T$27="Normal", "3x3", IF(T$27="En Forme", "3x3", "0")))</f>
        <v>3x3</v>
      </c>
      <c r="W27" s="3">
        <f>IF(T$27="Fatigué", $C$11*0.3, IF(T$27="Normal", $C$11*0.35, IF(T$27="En Forme", $C$11*0.4, "0")))</f>
        <v>54.25</v>
      </c>
      <c r="X27" s="3" t="s">
        <v>28</v>
      </c>
      <c r="Y27" s="3" t="s">
        <v>16</v>
      </c>
    </row>
    <row r="28" spans="1:25" ht="27" customHeight="1" thickBot="1" x14ac:dyDescent="0.25">
      <c r="E28" s="15" t="s">
        <v>59</v>
      </c>
      <c r="F28" s="16"/>
      <c r="G28" s="16"/>
      <c r="H28" s="23"/>
      <c r="I28" s="24"/>
      <c r="J28" s="3" t="str">
        <f>IF(H$27="Fatigué", "2x2", IF(H$27="Normal", "3x2", IF(H$27="En Forme", "3x2", "0")))</f>
        <v>3x2</v>
      </c>
      <c r="K28" s="3">
        <f>IF(H$27="Fatigué", $C$11*0.57, IF(H$27="Normal", $C$11*0.62, IF(H$27="En Forme", $C$11*0.65, "0")))</f>
        <v>96.1</v>
      </c>
      <c r="L28" s="23"/>
      <c r="M28" s="24"/>
      <c r="N28" s="3" t="str">
        <f>IF(L$27="Fatigué", "2x2", IF(L$27="Normal", "3x2", IF(L$27="En Forme", "3x2", "0")))</f>
        <v>3x2</v>
      </c>
      <c r="O28" s="3">
        <f>IF(L$27="Fatigué", $C$11*0.59, IF(L$27="Normal", $C$11*0.64, IF(L$27="En Forme", $C$11*0.67, "0")))</f>
        <v>99.2</v>
      </c>
      <c r="P28" s="23"/>
      <c r="Q28" s="24"/>
      <c r="R28" s="3" t="str">
        <f>IF(P$27="Fatigué", "1x2", IF(P$27="Normal", "2x2", IF(P$27="En Forme", "2x2", "0")))</f>
        <v>2x2</v>
      </c>
      <c r="S28" s="3">
        <f>IF(P$27="Fatigué", $C$11*0.5, IF(P$27="Normal", $C$11*0.55, IF(P$27="En Forme", $C$11*0.58, "0")))</f>
        <v>85.25</v>
      </c>
      <c r="T28" s="23"/>
      <c r="U28" s="24"/>
      <c r="V28" s="3" t="str">
        <f>IF(T$27="Fatigué", "2x2", IF(T$27="Normal", "3x2", IF(T$27="En Forme", "3x2", "0")))</f>
        <v>3x2</v>
      </c>
      <c r="W28" s="3">
        <f>IF(T$27="Fatigué", $C$11*0.62, IF(T$27="Normal", $C$11*0.67, IF(T$27="En Forme", $C$11*0.7, "0")))</f>
        <v>103.85000000000001</v>
      </c>
      <c r="X28" s="3" t="s">
        <v>32</v>
      </c>
      <c r="Y28" s="3" t="s">
        <v>16</v>
      </c>
    </row>
    <row r="29" spans="1:25" ht="27" customHeight="1" x14ac:dyDescent="0.2">
      <c r="E29" s="15" t="s">
        <v>51</v>
      </c>
      <c r="F29" s="16"/>
      <c r="G29" s="16"/>
      <c r="J29" s="3" t="str">
        <f>IF(H$27="Fatigué", "2x3", IF(H$27="Normal", "3x3", IF(H$27="En Forme", "3x3", "0")))</f>
        <v>3x3</v>
      </c>
      <c r="K29" s="3">
        <f>IF(H$27="Fatigué", $C$15*0.72, IF(H$27="Normal", $C$15*0.77, IF(H$27="En Forme", $C$15*0.8, "0")))</f>
        <v>130.9</v>
      </c>
      <c r="N29" s="3" t="str">
        <f>IF(L$27="Fatigué", "2x3", IF(L$27="Normal", "3x3", IF(L$27="En Forme", "3x3", "0")))</f>
        <v>3x3</v>
      </c>
      <c r="O29" s="3">
        <f>IF(L$27="Fatigué", $C$15*0.74, IF(L$27="Normal", $C$15*0.79, IF(L$27="En Forme", $C$15*0.82, "0")))</f>
        <v>134.30000000000001</v>
      </c>
      <c r="R29" s="3" t="str">
        <f>IF(P$27="Fatigué", "1x3", IF(P$27="Normal", "2x3", IF(P$27="En Forme", "2x3", "0")))</f>
        <v>2x3</v>
      </c>
      <c r="S29" s="3">
        <f>IF(P$27="Fatigué", $C$15*0.65, IF(P$27="Normal", $C$15*0.7, IF(P$27="En Forme", $C$15*0.73, "0")))</f>
        <v>118.99999999999999</v>
      </c>
      <c r="V29" s="3" t="str">
        <f>IF(T$27="Fatigué", "2x3", IF(T$27="Normal", "3x3", IF(T$27="En Forme", "3x3", "0")))</f>
        <v>3x3</v>
      </c>
      <c r="W29" s="3">
        <f>IF(T$27="Fatigué", $C$15*0.77, IF(T$27="Normal", $C$15*0.82, IF(T$27="En Forme", $C$15*0.85, "0")))</f>
        <v>139.4</v>
      </c>
    </row>
    <row r="30" spans="1:25" ht="27" customHeight="1" x14ac:dyDescent="0.2">
      <c r="E30" s="15" t="s">
        <v>52</v>
      </c>
      <c r="F30" s="16"/>
      <c r="G30" s="16"/>
      <c r="J30" s="3" t="str">
        <f>IF(H$27="Fatigué", "2x3", IF(H$27="Normal", "3x3", IF(H$27="En Forme", "3x3", "0")))</f>
        <v>3x3</v>
      </c>
      <c r="K30" s="3">
        <f>IF(H$27="Fatigué", $C$9*0.52, IF(H$27="Normal", $C$9*0.57, IF(H$27="En Forme", $C$9*0.6, "0")))</f>
        <v>71.25</v>
      </c>
      <c r="N30" s="3" t="str">
        <f>IF(L$27="Fatigué", "2x3", IF(L$27="Normal", "3x3", IF(L$27="En Forme", "3x3", "0")))</f>
        <v>3x3</v>
      </c>
      <c r="O30" s="3">
        <f>IF(L$27="Fatigué", $C$9*0.54, IF(L$27="Normal", $C$9*0.59, IF(L$27="En Forme", $C$9*0.62, "0")))</f>
        <v>73.75</v>
      </c>
      <c r="R30" s="3" t="str">
        <f>IF(P$27="Fatigué", "1x3", IF(P$27="Normal", "2x3", IF(P$27="En Forme", "2x3", "0")))</f>
        <v>2x3</v>
      </c>
      <c r="S30" s="3">
        <f>IF(P$27="Fatigué", $C$9*0.45, IF(P$27="Normal", $C$9*0.5, IF(P$27="En Forme", $C$9*0.53, "0")))</f>
        <v>62.5</v>
      </c>
      <c r="V30" s="3" t="str">
        <f>IF(T$27="Fatigué", "2x3", IF(T$27="Normal", "3x3", IF(T$27="En Forme", "3x3", "0")))</f>
        <v>3x3</v>
      </c>
      <c r="W30" s="3">
        <f>IF(T$27="Fatigué", $C$9*0.57, IF(T$27="Normal", $C$9*0.62, IF(T$27="En Forme", $C$9*0.65, "0")))</f>
        <v>77.5</v>
      </c>
    </row>
    <row r="31" spans="1:25" ht="27" customHeight="1" x14ac:dyDescent="0.2">
      <c r="E31" s="15" t="s">
        <v>53</v>
      </c>
      <c r="F31" s="16"/>
      <c r="G31" s="16"/>
      <c r="J31" s="3" t="str">
        <f>IF(H$27="Fatigué", "3x2", IF(H$27="Normal", "3x2", IF(H$27="En Forme", "4x2", "0")))</f>
        <v>3x2</v>
      </c>
      <c r="K31" s="3">
        <f>IF(H$27="Fatigué", $C$9*0.7, IF(H$27="Normal", $C$9*0.75, IF(H$27="En Forme", $C$9*0.8, "0")))</f>
        <v>93.75</v>
      </c>
      <c r="N31" s="3" t="str">
        <f>IF(L$27="Fatigué", "3x2", IF(L$27="Normal", "3x2", IF(L$27="En Forme", "4x2", "0")))</f>
        <v>3x2</v>
      </c>
      <c r="O31" s="3">
        <f>IF(L$27="Fatigué", $C$9*0.72, IF(L$27="Normal", $C$9*0.77, IF(L$27="En Forme", $C$9*0.82, "0")))</f>
        <v>96.25</v>
      </c>
      <c r="R31" s="3" t="str">
        <f>IF(P$27="Fatigué", "2x2", IF(P$27="Normal", "2x2", IF(P$27="En Forme", "3x2", "0")))</f>
        <v>2x2</v>
      </c>
      <c r="S31" s="3">
        <f>IF(P$27="Fatigué", $C$9*0.63, IF(P$27="Normal", $C$9*0.68, IF(P$27="En Forme", $C$9*0.73, "0")))</f>
        <v>85</v>
      </c>
      <c r="V31" s="3" t="str">
        <f>IF(T$27="Fatigué", "3x2", IF(T$27="Normal", "3x2", IF(T$27="En Forme", "4x2", "0")))</f>
        <v>3x2</v>
      </c>
      <c r="W31" s="3">
        <f>IF(T$27="Fatigué", $C$9*0.75, IF(T$27="Normal", $C$9*0.8, IF(T$27="En Forme", $C$9*0.85, "0")))</f>
        <v>100</v>
      </c>
    </row>
    <row r="32" spans="1:25" ht="27" customHeight="1" x14ac:dyDescent="0.2">
      <c r="E32" s="15"/>
      <c r="F32" s="16"/>
      <c r="G32" s="16"/>
    </row>
    <row r="33" spans="5:25" ht="27" customHeight="1" thickBot="1" x14ac:dyDescent="0.25">
      <c r="E33" s="17"/>
      <c r="F33" s="17"/>
      <c r="G33" s="17"/>
      <c r="J33" s="1"/>
      <c r="K33" s="1"/>
      <c r="N33" s="1"/>
      <c r="O33" s="1"/>
      <c r="R33" s="1"/>
      <c r="S33" s="1"/>
      <c r="V33" s="1"/>
      <c r="W33" s="1"/>
    </row>
    <row r="34" spans="5:25" ht="27" customHeight="1" thickBot="1" x14ac:dyDescent="0.25">
      <c r="E34" s="26" t="s">
        <v>39</v>
      </c>
      <c r="F34" s="27"/>
      <c r="G34" s="28"/>
      <c r="H34" s="20" t="s">
        <v>13</v>
      </c>
      <c r="I34" s="21"/>
      <c r="J34" s="7" t="s">
        <v>0</v>
      </c>
      <c r="K34" s="7" t="s">
        <v>1</v>
      </c>
      <c r="L34" s="20" t="s">
        <v>13</v>
      </c>
      <c r="M34" s="21"/>
      <c r="N34" s="7" t="s">
        <v>0</v>
      </c>
      <c r="O34" s="7" t="s">
        <v>1</v>
      </c>
      <c r="P34" s="20" t="s">
        <v>13</v>
      </c>
      <c r="Q34" s="21"/>
      <c r="R34" s="7" t="s">
        <v>0</v>
      </c>
      <c r="S34" s="7" t="s">
        <v>1</v>
      </c>
      <c r="T34" s="20" t="s">
        <v>13</v>
      </c>
      <c r="U34" s="21"/>
      <c r="V34" s="7" t="s">
        <v>0</v>
      </c>
      <c r="W34" s="7" t="s">
        <v>1</v>
      </c>
      <c r="X34" s="7" t="s">
        <v>14</v>
      </c>
      <c r="Y34" s="7" t="s">
        <v>0</v>
      </c>
    </row>
    <row r="35" spans="5:25" ht="27" customHeight="1" x14ac:dyDescent="0.2">
      <c r="E35" s="18" t="s">
        <v>54</v>
      </c>
      <c r="F35" s="19"/>
      <c r="G35" s="22"/>
      <c r="H35" s="18" t="s">
        <v>15</v>
      </c>
      <c r="I35" s="22"/>
      <c r="J35" s="3" t="str">
        <f>IF(H$35="Fatigué", "2x2", IF(H$35="Normal", "3x2", IF(H$35="En Forme", "3x2", "0")))</f>
        <v>3x2</v>
      </c>
      <c r="K35" s="3">
        <f>IF(H$35="Fatigué", $C$9*0.77, IF(H$35="Normal", $C$9*0.82, IF(H$35="En Forme", $C$9*0.85, "0")))</f>
        <v>102.5</v>
      </c>
      <c r="L35" s="18" t="s">
        <v>15</v>
      </c>
      <c r="M35" s="22"/>
      <c r="N35" s="3" t="str">
        <f>IF(L$35="Fatigué", "2x2", IF(L$35="Normal", "3x2", IF(L$35="En Forme", "3x2", "0")))</f>
        <v>3x2</v>
      </c>
      <c r="O35" s="3">
        <f>IF(L$35="Fatigué", $C$9*0.79, IF(L$35="Normal", $C$9*0.84, IF(L$35="En Forme", $C$9*0.87, "0")))</f>
        <v>105</v>
      </c>
      <c r="P35" s="18" t="s">
        <v>15</v>
      </c>
      <c r="Q35" s="22"/>
      <c r="R35" s="3" t="str">
        <f>IF(P$35="Fatigué", "1x2", IF(P$35="Normal", "2x2", IF(P$35="En Forme", "2x2", "0")))</f>
        <v>2x2</v>
      </c>
      <c r="S35" s="3">
        <f>IF(P$35="Fatigué", $C$9*0.7, IF(P$35="Normal", $C$9*0.75, IF(P$35="En Forme", $C$9*0.78, "0")))</f>
        <v>93.75</v>
      </c>
      <c r="T35" s="18" t="s">
        <v>15</v>
      </c>
      <c r="U35" s="22"/>
      <c r="V35" s="3" t="str">
        <f>IF(T$35="Fatigué", "1x2", IF(T$35="Normal", "1x2", IF(T$35="En Forme", "1x2", "0")))</f>
        <v>1x2</v>
      </c>
      <c r="W35" s="3">
        <f>IF(T$35="Fatigué", $C$9*0.82, IF(T$35="Normal", $C$9*0.87, IF(T$35="En Forme", $C$9*0.9, "0")))</f>
        <v>108.75</v>
      </c>
      <c r="X35" s="3" t="s">
        <v>22</v>
      </c>
      <c r="Y35" s="3" t="s">
        <v>16</v>
      </c>
    </row>
    <row r="36" spans="5:25" ht="27" customHeight="1" thickBot="1" x14ac:dyDescent="0.25">
      <c r="E36" s="15" t="s">
        <v>54</v>
      </c>
      <c r="F36" s="16"/>
      <c r="G36" s="25"/>
      <c r="H36" s="23"/>
      <c r="I36" s="24"/>
      <c r="J36" s="3" t="str">
        <f>IF(H$27="Fatigué", "1x1", IF(H$27="Normal", "2x1", IF(H$27="En Forme", "2x1", "0")))</f>
        <v>2x1</v>
      </c>
      <c r="K36" s="3">
        <f>IF(H$27="Fatigué", $C$9*0.87, IF(H$27="Normal", $C$9*0.92, IF(H$27="En Forme", $C$9*0.95, "0")))</f>
        <v>115</v>
      </c>
      <c r="L36" s="23"/>
      <c r="M36" s="24"/>
      <c r="N36" s="3" t="str">
        <f>IF(L$27="Fatigué", "1x1", IF(L$27="Normal", "2x1", IF(L$27="En Forme", "2x1", "0")))</f>
        <v>2x1</v>
      </c>
      <c r="O36" s="3">
        <f>IF(L$27="Fatigué", $C$9*0.89, IF(L$27="Normal", $C$9*0.94, IF(L$27="En Forme", $C$9*0.97, "0")))</f>
        <v>117.5</v>
      </c>
      <c r="P36" s="23"/>
      <c r="Q36" s="24"/>
      <c r="R36" s="3" t="str">
        <f>IF(P$27="Fatigué", "1x1", IF(P$27="Normal", "1x1", IF(P$27="En Forme", "1x1", "0")))</f>
        <v>1x1</v>
      </c>
      <c r="S36" s="3">
        <f>IF(P$27="Fatigué", $C$9*0.8, IF(P$27="Normal", $C$9*0.85, IF(P$27="En Forme", $C$9*0.88, "0")))</f>
        <v>106.25</v>
      </c>
      <c r="T36" s="23"/>
      <c r="U36" s="24"/>
      <c r="V36" s="3" t="str">
        <f>IF(T$27="Fatigué", "1x1", IF(T$27="Normal", "2x1", IF(T$27="En Forme", "2x1", "0")))</f>
        <v>2x1</v>
      </c>
      <c r="W36" s="3">
        <f>IF(T$27="Fatigué", $C$9*0.92, IF(T$27="Normal", $C$9*0.97, IF(T$27="En Forme", $C$9*1, "0")))</f>
        <v>121.25</v>
      </c>
      <c r="X36" s="3" t="s">
        <v>23</v>
      </c>
      <c r="Y36" s="3" t="s">
        <v>17</v>
      </c>
    </row>
    <row r="37" spans="5:25" ht="27" customHeight="1" x14ac:dyDescent="0.2">
      <c r="E37" s="15" t="s">
        <v>21</v>
      </c>
      <c r="F37" s="16"/>
      <c r="G37" s="16"/>
      <c r="J37" s="3" t="str">
        <f>IF(H$27="Fatigué", "2x2", IF(H$27="Normal", "3x2", IF(H$27="En Forme", "3x2", "0")))</f>
        <v>3x2</v>
      </c>
      <c r="K37" s="3">
        <f>IF(H$27="Fatigué", $C$11*0.8, IF(H$27="Normal", $C$11*0.85, IF(H$27="En Forme", $C$11*0.88, "0")))</f>
        <v>131.75</v>
      </c>
      <c r="N37" s="3" t="str">
        <f>IF(L$27="Fatigué", "2x2", IF(L$27="Normal", "3x2", IF(L$27="En Forme", "3x2", "0")))</f>
        <v>3x2</v>
      </c>
      <c r="O37" s="3">
        <f>IF(L$27="Fatigué", $C$11*0.82, IF(L$27="Normal", $C$11*0.87, IF(L$27="En Forme", $C$11*0.9, "0")))</f>
        <v>134.85</v>
      </c>
      <c r="R37" s="3" t="str">
        <f>IF(P$27="Fatigué", "1x2", IF(P$27="Normal", "2x2", IF(P$27="En Forme", "2x2", "0")))</f>
        <v>2x2</v>
      </c>
      <c r="S37" s="3">
        <f>IF(P$27="Fatigué", $C$11*0.73, IF(P$27="Normal", $C$11*0.78, IF(P$27="En Forme", $C$11*0.81, "0")))</f>
        <v>120.9</v>
      </c>
      <c r="V37" s="3" t="str">
        <f>IF(T$27="Fatigué", "1x2", IF(T$27="Normal", "1x2", IF(T$27="En Forme", "1x2", "0")))</f>
        <v>1x2</v>
      </c>
      <c r="W37" s="3">
        <f>IF(T$35="Fatigué", $C$11*0.95, IF(T$35="Normal", $C$11*1, IF(T$35="En Forme", $C$11*1.02, "0")))</f>
        <v>155</v>
      </c>
      <c r="X37" s="3" t="s">
        <v>24</v>
      </c>
      <c r="Y37" s="3" t="s">
        <v>16</v>
      </c>
    </row>
    <row r="38" spans="5:25" ht="27" customHeight="1" x14ac:dyDescent="0.2">
      <c r="E38" s="15" t="s">
        <v>21</v>
      </c>
      <c r="F38" s="16"/>
      <c r="G38" s="16"/>
      <c r="J38" s="3" t="str">
        <f>IF(H$27="Fatigué", "2x1", IF(H$27="Normal", "3x1", IF(H$27="En Forme", "3x1", "0")))</f>
        <v>3x1</v>
      </c>
      <c r="K38" s="3">
        <f>IF(H$27="Fatigué", $C$11*0.85, IF(H$27="Normal", $C$11*0.9, IF(H$27="En Forme", $C$11*0.93, "0")))</f>
        <v>139.5</v>
      </c>
      <c r="N38" s="3" t="str">
        <f>IF(L$27="Fatigué", "2x1", IF(L$27="Normal", "3x1", IF(L$27="En Forme", "3x1", "0")))</f>
        <v>3x1</v>
      </c>
      <c r="O38" s="3">
        <f>IF(L$27="Fatigué", $C$11*0.87, IF(L$27="Normal", $C$11*0.92, IF(L$27="En Forme", $C$11*0.95, "0")))</f>
        <v>142.6</v>
      </c>
      <c r="R38" s="3" t="str">
        <f>IF(P$27="Fatigué", "1x1", IF(P$27="Normal", "2x1", IF(P$27="En Forme", "2x1", "0")))</f>
        <v>2x1</v>
      </c>
      <c r="S38" s="3">
        <f>IF(P$27="Fatigué", $C$11*0.78, IF(P$27="Normal", $C$11*0.83, IF(P$27="En Forme", $C$11*0.86, "0")))</f>
        <v>128.65</v>
      </c>
      <c r="V38" s="3" t="str">
        <f>IF(T$27="Fatigué", "2x1", IF(T$27="Normal", "3x1", IF(T$27="En Forme", "3x1", "0")))</f>
        <v>3x1</v>
      </c>
      <c r="W38" s="3">
        <f>IF(T$27="Fatigué", $C$11*0.95, IF(T$27="Normal", $C$11*1, IF(T$27="En Forme", $C$11*1.02, "0")))</f>
        <v>155</v>
      </c>
    </row>
    <row r="39" spans="5:25" ht="27" customHeight="1" x14ac:dyDescent="0.2">
      <c r="E39" s="15" t="s">
        <v>60</v>
      </c>
      <c r="F39" s="16"/>
      <c r="G39" s="16"/>
      <c r="J39" s="3" t="str">
        <f>IF(H$27="Fatigué", "2x10", IF(H$27="Normal", "3x10", IF(H$27="En Forme", "3x10", "0")))</f>
        <v>3x10</v>
      </c>
      <c r="K39" s="3">
        <f>IF(H$27="Fatigué", $C$19*0.4, IF(H$27="Normal", $C$19*0.45, IF(H$27="En Forme", $C$19*0.5, "0")))</f>
        <v>81</v>
      </c>
      <c r="N39" s="3" t="str">
        <f>IF(L$27="Fatigué", "2x10", IF(L$27="Normal", "3x10", IF(L$27="En Forme", "3x10", "0")))</f>
        <v>3x10</v>
      </c>
      <c r="O39" s="3">
        <f>IF(L$27="Fatigué", $C$19*0.42, IF(L$27="Normal", $C$19*0.47, IF(L$27="En Forme", $C$19*0.52, "0")))</f>
        <v>84.6</v>
      </c>
      <c r="R39" s="3" t="str">
        <f>IF(P$27="Fatigué", "1x10", IF(P$27="Normal", "2x10", IF(P$27="En Forme", "2x10", "0")))</f>
        <v>2x10</v>
      </c>
      <c r="S39" s="3">
        <f>IF(P$27="Fatigué", $C$19*0.33, IF(P$27="Normal", $C$19*0.38, IF(P$27="En Forme", $C$19*0.43, "0")))</f>
        <v>68.400000000000006</v>
      </c>
      <c r="V39" s="3" t="str">
        <f>IF(T$27="Fatigué", "2x10", IF(T$27="Normal", "3x10", IF(T$27="En Forme", "3x10", "0")))</f>
        <v>3x10</v>
      </c>
      <c r="W39" s="3">
        <f>IF(T$27="Fatigué", $C$19*0.45, IF(T$27="Normal", $C$19*0.5, IF(T$27="En Forme", $C$19*0.55, "0")))</f>
        <v>90</v>
      </c>
    </row>
    <row r="40" spans="5:25" ht="27" customHeight="1" x14ac:dyDescent="0.2">
      <c r="E40" s="15"/>
      <c r="F40" s="16"/>
      <c r="G40" s="16"/>
      <c r="K40" s="4"/>
    </row>
    <row r="41" spans="5:25" ht="27" customHeight="1" x14ac:dyDescent="0.2">
      <c r="E41" s="15"/>
      <c r="F41" s="16"/>
      <c r="G41" s="16"/>
      <c r="J41" s="1"/>
      <c r="K41" s="1"/>
      <c r="N41" s="1"/>
      <c r="O41" s="1"/>
      <c r="R41" s="1"/>
      <c r="S41" s="1"/>
      <c r="V41" s="1"/>
      <c r="W41" s="1"/>
    </row>
  </sheetData>
  <mergeCells count="85">
    <mergeCell ref="E37:G37"/>
    <mergeCell ref="E38:G38"/>
    <mergeCell ref="E39:G39"/>
    <mergeCell ref="E40:G40"/>
    <mergeCell ref="E41:G41"/>
    <mergeCell ref="H34:I34"/>
    <mergeCell ref="L34:M34"/>
    <mergeCell ref="P34:Q34"/>
    <mergeCell ref="T34:U34"/>
    <mergeCell ref="E35:G35"/>
    <mergeCell ref="H35:I36"/>
    <mergeCell ref="L35:M36"/>
    <mergeCell ref="P35:Q36"/>
    <mergeCell ref="T35:U36"/>
    <mergeCell ref="E36:G36"/>
    <mergeCell ref="E29:G29"/>
    <mergeCell ref="E30:G30"/>
    <mergeCell ref="E31:G31"/>
    <mergeCell ref="E32:G32"/>
    <mergeCell ref="E33:G33"/>
    <mergeCell ref="E34:G34"/>
    <mergeCell ref="L26:M26"/>
    <mergeCell ref="P26:Q26"/>
    <mergeCell ref="T26:U26"/>
    <mergeCell ref="E27:G27"/>
    <mergeCell ref="H27:I28"/>
    <mergeCell ref="L27:M28"/>
    <mergeCell ref="P27:Q28"/>
    <mergeCell ref="T27:U28"/>
    <mergeCell ref="E28:G28"/>
    <mergeCell ref="E22:G22"/>
    <mergeCell ref="E23:G23"/>
    <mergeCell ref="E24:G24"/>
    <mergeCell ref="E25:G25"/>
    <mergeCell ref="E26:G26"/>
    <mergeCell ref="H26:I26"/>
    <mergeCell ref="L19:M19"/>
    <mergeCell ref="P19:Q19"/>
    <mergeCell ref="T19:U19"/>
    <mergeCell ref="E20:G20"/>
    <mergeCell ref="H20:I21"/>
    <mergeCell ref="L20:M21"/>
    <mergeCell ref="P20:Q21"/>
    <mergeCell ref="T20:U21"/>
    <mergeCell ref="E21:G21"/>
    <mergeCell ref="E15:G15"/>
    <mergeCell ref="E16:G16"/>
    <mergeCell ref="E17:G17"/>
    <mergeCell ref="E18:G18"/>
    <mergeCell ref="E19:G19"/>
    <mergeCell ref="H19:I19"/>
    <mergeCell ref="E13:G13"/>
    <mergeCell ref="H13:I14"/>
    <mergeCell ref="L13:M14"/>
    <mergeCell ref="P13:Q14"/>
    <mergeCell ref="T13:U14"/>
    <mergeCell ref="E14:G14"/>
    <mergeCell ref="E11:G11"/>
    <mergeCell ref="E12:G12"/>
    <mergeCell ref="H12:I12"/>
    <mergeCell ref="L12:M12"/>
    <mergeCell ref="P12:Q12"/>
    <mergeCell ref="T12:U12"/>
    <mergeCell ref="T6:U7"/>
    <mergeCell ref="A7:C7"/>
    <mergeCell ref="E7:G7"/>
    <mergeCell ref="E8:G8"/>
    <mergeCell ref="E9:G9"/>
    <mergeCell ref="E10:G10"/>
    <mergeCell ref="E5:G5"/>
    <mergeCell ref="H5:I5"/>
    <mergeCell ref="L5:M5"/>
    <mergeCell ref="P5:Q5"/>
    <mergeCell ref="T5:U5"/>
    <mergeCell ref="A6:C6"/>
    <mergeCell ref="E6:G6"/>
    <mergeCell ref="H6:I7"/>
    <mergeCell ref="L6:M7"/>
    <mergeCell ref="P6:Q7"/>
    <mergeCell ref="A1:C2"/>
    <mergeCell ref="A3:B3"/>
    <mergeCell ref="J4:K4"/>
    <mergeCell ref="N4:O4"/>
    <mergeCell ref="R4:S4"/>
    <mergeCell ref="V4:W4"/>
  </mergeCells>
  <dataValidations count="1">
    <dataValidation type="list" allowBlank="1" showInputMessage="1" showErrorMessage="1" sqref="H6:I7 H13:I14 H20:I21 H27:I28 T13:U14 L6:M7 L13:M14 L20:M21 L27:M28 T20:U21 P6:Q7 P13:Q14 P20:Q21 P27:Q28 T27:U28 T6:U7 H35:I36 L35:M36 P35:Q36 T35:U36" xr:uid="{C53CE674-1FAB-F349-A68E-E9C8781ADF6D}">
      <formula1>"Fatigué, Normal, En Forme"</formula1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18B28F-7530-954D-9875-358805C5DAEA}">
  <dimension ref="A1:W41"/>
  <sheetViews>
    <sheetView topLeftCell="E1" zoomScale="70" zoomScaleNormal="70" workbookViewId="0">
      <selection activeCell="R8" sqref="R8"/>
    </sheetView>
  </sheetViews>
  <sheetFormatPr baseColWidth="10" defaultColWidth="17.83203125" defaultRowHeight="27" customHeight="1" x14ac:dyDescent="0.2"/>
  <cols>
    <col min="1" max="2" width="17.83203125" style="1"/>
    <col min="3" max="3" width="17.83203125" style="2"/>
    <col min="4" max="4" width="22.5" style="3" customWidth="1"/>
    <col min="5" max="5" width="17.83203125" style="3"/>
    <col min="6" max="6" width="17.83203125" style="4"/>
    <col min="7" max="7" width="18.1640625" style="3" customWidth="1"/>
    <col min="8" max="9" width="10.1640625" style="3" customWidth="1"/>
    <col min="10" max="11" width="17.83203125" style="3"/>
    <col min="12" max="13" width="10.1640625" style="3" customWidth="1"/>
    <col min="14" max="15" width="17.83203125" style="3"/>
    <col min="16" max="17" width="15.83203125" style="3" customWidth="1"/>
    <col min="18" max="19" width="17.83203125" style="3"/>
    <col min="20" max="21" width="10.1640625" style="3" customWidth="1"/>
    <col min="22" max="16384" width="17.83203125" style="3"/>
  </cols>
  <sheetData>
    <row r="1" spans="1:23" ht="27" customHeight="1" x14ac:dyDescent="0.2">
      <c r="A1" s="30" t="s">
        <v>42</v>
      </c>
      <c r="B1" s="30"/>
      <c r="C1" s="30"/>
    </row>
    <row r="2" spans="1:23" ht="27" customHeight="1" x14ac:dyDescent="0.2">
      <c r="A2" s="30"/>
      <c r="B2" s="30"/>
      <c r="C2" s="30"/>
    </row>
    <row r="3" spans="1:23" ht="27" customHeight="1" thickBot="1" x14ac:dyDescent="0.25">
      <c r="A3" s="29"/>
      <c r="B3" s="29"/>
      <c r="F3" s="3"/>
      <c r="I3" s="4"/>
      <c r="J3" s="14">
        <f>DATE(2025, 6, 1)</f>
        <v>45809</v>
      </c>
      <c r="K3" s="14">
        <f>J3+6</f>
        <v>45815</v>
      </c>
      <c r="N3" s="14">
        <f>J3+7</f>
        <v>45816</v>
      </c>
      <c r="O3" s="14">
        <f>K3+7</f>
        <v>45822</v>
      </c>
      <c r="P3" s="33"/>
      <c r="Q3" s="33"/>
      <c r="R3" s="34"/>
      <c r="S3" s="34"/>
      <c r="T3" s="33"/>
      <c r="U3" s="33"/>
      <c r="V3" s="34"/>
      <c r="W3" s="34"/>
    </row>
    <row r="4" spans="1:23" ht="27" customHeight="1" thickBot="1" x14ac:dyDescent="0.25">
      <c r="F4" s="3"/>
      <c r="J4" s="31" t="s">
        <v>2</v>
      </c>
      <c r="K4" s="32"/>
      <c r="N4" s="31" t="s">
        <v>3</v>
      </c>
      <c r="O4" s="32"/>
      <c r="P4" s="33"/>
      <c r="Q4" s="33"/>
      <c r="R4" s="35"/>
      <c r="S4" s="35"/>
      <c r="T4" s="33"/>
      <c r="U4" s="33"/>
      <c r="V4" s="35"/>
      <c r="W4" s="35"/>
    </row>
    <row r="5" spans="1:23" ht="27" customHeight="1" thickBot="1" x14ac:dyDescent="0.25">
      <c r="E5" s="26" t="s">
        <v>37</v>
      </c>
      <c r="F5" s="27"/>
      <c r="G5" s="28"/>
      <c r="H5" s="20" t="s">
        <v>13</v>
      </c>
      <c r="I5" s="21"/>
      <c r="J5" s="7" t="s">
        <v>0</v>
      </c>
      <c r="K5" s="7" t="s">
        <v>1</v>
      </c>
      <c r="L5" s="20" t="s">
        <v>13</v>
      </c>
      <c r="M5" s="21"/>
      <c r="N5" s="7" t="s">
        <v>0</v>
      </c>
      <c r="O5" s="10" t="s">
        <v>1</v>
      </c>
      <c r="P5" s="7" t="s">
        <v>14</v>
      </c>
      <c r="Q5" s="7" t="s">
        <v>0</v>
      </c>
      <c r="R5" s="36"/>
      <c r="S5" s="36"/>
      <c r="T5" s="35"/>
      <c r="U5" s="35"/>
      <c r="V5" s="36"/>
      <c r="W5" s="36"/>
    </row>
    <row r="6" spans="1:23" ht="27" customHeight="1" x14ac:dyDescent="0.2">
      <c r="A6" s="29" t="s">
        <v>12</v>
      </c>
      <c r="B6" s="29"/>
      <c r="C6" s="29"/>
      <c r="E6" s="15" t="s">
        <v>55</v>
      </c>
      <c r="F6" s="16"/>
      <c r="G6" s="16"/>
      <c r="H6" s="18" t="s">
        <v>15</v>
      </c>
      <c r="I6" s="22"/>
      <c r="J6" s="3" t="str">
        <f>IF(H$6="Fatigué", "2x[3+2]", IF(H$6="Normal", "3x[3+2]", IF(H$6="En Forme", "3x[3+2]", "0")))</f>
        <v>3x[3+2]</v>
      </c>
      <c r="K6" s="3">
        <f>IF(H$6="Fatigué", $C$11*0.45, IF(H$6="Normal", $C$11*0.5, IF(H$6="En Forme", $C$11*0.55, "0")))</f>
        <v>77.5</v>
      </c>
      <c r="L6" s="18" t="s">
        <v>15</v>
      </c>
      <c r="M6" s="22"/>
      <c r="N6" s="3" t="str">
        <f>IF(L$6="Fatigué", "2x[3+2]", IF(L$6="Normal", "3x[3+2]", IF(L$6="En Forme", "3x[3+2]", "0")))</f>
        <v>3x[3+2]</v>
      </c>
      <c r="O6" s="3">
        <f>IF(L$6="Fatigué", $C$11*0.47, IF(L$6="Normal", $C$11*0.52, IF(L$6="En Forme", $C$11*0.57, "0")))</f>
        <v>80.600000000000009</v>
      </c>
      <c r="P6" s="3" t="s">
        <v>19</v>
      </c>
      <c r="Q6" s="3" t="s">
        <v>20</v>
      </c>
      <c r="R6" s="33"/>
      <c r="S6" s="33"/>
      <c r="T6" s="37"/>
      <c r="U6" s="37"/>
      <c r="V6" s="33"/>
      <c r="W6" s="33"/>
    </row>
    <row r="7" spans="1:23" ht="27" customHeight="1" thickBot="1" x14ac:dyDescent="0.25">
      <c r="A7" s="29"/>
      <c r="B7" s="29"/>
      <c r="C7" s="29"/>
      <c r="E7" s="15" t="s">
        <v>56</v>
      </c>
      <c r="F7" s="16"/>
      <c r="G7" s="16"/>
      <c r="H7" s="23"/>
      <c r="I7" s="24"/>
      <c r="J7" s="3" t="str">
        <f>IF(H$6="Fatigué", "4x[2+1]", IF(H$6="Normal", "5x[2+1]", IF(H$6="En Forme", "5x[2+1]", "0")))</f>
        <v>5x[2+1]</v>
      </c>
      <c r="K7" s="3">
        <f>IF(H$6="Fatigué", $C$13*0.72, IF(H$6="Normal", $C$13*0.77, IF(H$6="En Forme", $C$13*0.8, "0")))</f>
        <v>123.2</v>
      </c>
      <c r="L7" s="23"/>
      <c r="M7" s="24"/>
      <c r="N7" s="3" t="str">
        <f>IF(L$6="Fatigué", "4x[2+1]", IF(L$6="Normal", "5x[2+1]", IF(L$6="En Forme", "5x[2+1]", "0")))</f>
        <v>5x[2+1]</v>
      </c>
      <c r="O7" s="3">
        <f>IF(L$6="Fatigué", $C$13*0.74, IF(L$6="Normal", $C$13*0.79, IF(L$6="En Forme", $C$13*0.82, "0")))</f>
        <v>126.4</v>
      </c>
      <c r="P7" s="3" t="s">
        <v>28</v>
      </c>
      <c r="Q7" s="3" t="s">
        <v>16</v>
      </c>
      <c r="R7" s="33"/>
      <c r="S7" s="33"/>
      <c r="T7" s="37"/>
      <c r="U7" s="37"/>
      <c r="V7" s="33"/>
      <c r="W7" s="33"/>
    </row>
    <row r="8" spans="1:23" ht="27" customHeight="1" thickBot="1" x14ac:dyDescent="0.25">
      <c r="E8" s="15" t="s">
        <v>43</v>
      </c>
      <c r="F8" s="16"/>
      <c r="G8" s="16"/>
      <c r="J8" s="3" t="str">
        <f>IF(H$6="Fatigué", "2x3", IF(H$6="Normal", "3x3", IF(H$6="En Forme", "3x3", "0")))</f>
        <v>3x3</v>
      </c>
      <c r="K8" s="3">
        <f>IF(H$6="Fatigué", $C$13*1, IF(H$6="Normal", $C$13*1.05, IF(H$6="En Forme", $C$13*1.1, "0")))</f>
        <v>168</v>
      </c>
      <c r="N8" s="3" t="str">
        <f>IF(L$6="Fatigué", "2x3", IF(L$6="Normal", "3x3", IF(L$6="En Forme", "3x3", "0")))</f>
        <v>3x3</v>
      </c>
      <c r="O8" s="3">
        <f>IF(L$6="Fatigué", $C$13*1.02, IF(L$6="Normal", $C$13*1.07, IF(L$6="En Forme", $C$13*1.12, "0")))</f>
        <v>171.20000000000002</v>
      </c>
      <c r="P8" s="3" t="s">
        <v>29</v>
      </c>
      <c r="Q8" s="3" t="s">
        <v>30</v>
      </c>
      <c r="R8" s="33"/>
      <c r="S8" s="33"/>
      <c r="T8" s="33"/>
      <c r="U8" s="33"/>
      <c r="V8" s="33"/>
      <c r="W8" s="33"/>
    </row>
    <row r="9" spans="1:23" ht="27" customHeight="1" thickBot="1" x14ac:dyDescent="0.25">
      <c r="A9" s="10" t="s">
        <v>6</v>
      </c>
      <c r="B9" s="11"/>
      <c r="C9" s="5">
        <v>125</v>
      </c>
      <c r="D9" s="6"/>
      <c r="E9" s="15" t="s">
        <v>44</v>
      </c>
      <c r="F9" s="16"/>
      <c r="G9" s="16"/>
      <c r="J9" s="3" t="str">
        <f>IF(H$6="Fatigué", "3x2", IF(H$6="Normal", "3x2", IF(H$6="En Forme", "4x2", "0")))</f>
        <v>3x2</v>
      </c>
      <c r="K9" s="3">
        <f>IF(H$6="Fatigué", $C$9*0.72, IF(H$6="Normal", $C$9*0.77, IF(H$6="En Forme", $C$9*0.8, "0")))</f>
        <v>96.25</v>
      </c>
      <c r="N9" s="3" t="str">
        <f>IF(L$6="Fatigué", "3x2", IF(L$6="Normal", "3x2", IF(L$6="En Forme", "4x2", "0")))</f>
        <v>3x2</v>
      </c>
      <c r="O9" s="3">
        <f>IF(L$6="Fatigué", $C$9*0.74, IF(L$6="Normal", $C$9*0.79, IF(L$6="En Forme", $C$9*0.82, "0")))</f>
        <v>98.75</v>
      </c>
      <c r="R9" s="33"/>
      <c r="S9" s="33"/>
      <c r="T9" s="33"/>
      <c r="U9" s="33"/>
      <c r="V9" s="33"/>
      <c r="W9" s="33"/>
    </row>
    <row r="10" spans="1:23" ht="27" customHeight="1" thickBot="1" x14ac:dyDescent="0.25">
      <c r="E10" s="15" t="s">
        <v>10</v>
      </c>
      <c r="F10" s="16"/>
      <c r="G10" s="16"/>
      <c r="J10" s="3" t="str">
        <f>IF(H$6="Fatigué", "3x8", IF(H$6="Normal", "4x8", IF(H$6="En Forme", "4x8", "0")))</f>
        <v>4x8</v>
      </c>
      <c r="K10" s="3">
        <f>IF(H$6="Fatigué", $C$17*0.65, IF(H$6="Normal", $C$17*0.7, IF(H$6="En Forme", $C$17*0.75, "0")))</f>
        <v>147</v>
      </c>
      <c r="N10" s="3" t="str">
        <f>IF(L$6="Fatigué", "3x8", IF(L$6="Normal", "4x8", IF(L$6="En Forme", "4x8", "0")))</f>
        <v>4x8</v>
      </c>
      <c r="O10" s="3">
        <f>IF(L$6="Fatigué", $C$17*0.67, IF(L$6="Normal", $C$17*0.72, IF(L$6="En Forme", $C$17*0.77, "0")))</f>
        <v>151.19999999999999</v>
      </c>
      <c r="R10" s="33"/>
      <c r="S10" s="33"/>
      <c r="T10" s="33"/>
      <c r="U10" s="33"/>
      <c r="V10" s="33"/>
      <c r="W10" s="33"/>
    </row>
    <row r="11" spans="1:23" ht="27" customHeight="1" thickBot="1" x14ac:dyDescent="0.25">
      <c r="A11" s="10" t="s">
        <v>7</v>
      </c>
      <c r="B11" s="11"/>
      <c r="C11" s="2">
        <v>155</v>
      </c>
      <c r="D11" s="12"/>
      <c r="E11" s="17"/>
      <c r="F11" s="17"/>
      <c r="G11" s="17"/>
      <c r="K11" s="4"/>
      <c r="R11" s="33"/>
      <c r="S11" s="33"/>
      <c r="T11" s="33"/>
      <c r="U11" s="33"/>
      <c r="V11" s="33"/>
      <c r="W11" s="33"/>
    </row>
    <row r="12" spans="1:23" ht="27" customHeight="1" thickBot="1" x14ac:dyDescent="0.25">
      <c r="C12" s="8"/>
      <c r="E12" s="26" t="s">
        <v>38</v>
      </c>
      <c r="F12" s="27"/>
      <c r="G12" s="28"/>
      <c r="H12" s="20" t="s">
        <v>13</v>
      </c>
      <c r="I12" s="21"/>
      <c r="J12" s="7" t="s">
        <v>0</v>
      </c>
      <c r="K12" s="7" t="s">
        <v>1</v>
      </c>
      <c r="L12" s="20" t="s">
        <v>13</v>
      </c>
      <c r="M12" s="21"/>
      <c r="N12" s="7" t="s">
        <v>0</v>
      </c>
      <c r="O12" s="10" t="s">
        <v>1</v>
      </c>
      <c r="P12" s="7" t="s">
        <v>14</v>
      </c>
      <c r="Q12" s="7" t="s">
        <v>0</v>
      </c>
      <c r="R12" s="36"/>
      <c r="S12" s="36"/>
      <c r="T12" s="35"/>
      <c r="U12" s="35"/>
      <c r="V12" s="36"/>
      <c r="W12" s="36"/>
    </row>
    <row r="13" spans="1:23" ht="27" customHeight="1" thickBot="1" x14ac:dyDescent="0.25">
      <c r="A13" s="10" t="s">
        <v>8</v>
      </c>
      <c r="B13" s="11"/>
      <c r="C13" s="9">
        <v>160</v>
      </c>
      <c r="E13" s="18" t="s">
        <v>57</v>
      </c>
      <c r="F13" s="19"/>
      <c r="G13" s="19"/>
      <c r="H13" s="18" t="s">
        <v>15</v>
      </c>
      <c r="I13" s="22"/>
      <c r="L13" s="18" t="s">
        <v>15</v>
      </c>
      <c r="M13" s="22"/>
      <c r="P13" s="3" t="s">
        <v>18</v>
      </c>
      <c r="Q13" s="3" t="s">
        <v>16</v>
      </c>
      <c r="R13" s="33"/>
      <c r="S13" s="33"/>
      <c r="T13" s="37"/>
      <c r="U13" s="37"/>
      <c r="V13" s="33"/>
      <c r="W13" s="33"/>
    </row>
    <row r="14" spans="1:23" ht="27" customHeight="1" thickBot="1" x14ac:dyDescent="0.25">
      <c r="C14" s="8"/>
      <c r="E14" s="15" t="s">
        <v>45</v>
      </c>
      <c r="F14" s="16"/>
      <c r="G14" s="16"/>
      <c r="H14" s="23"/>
      <c r="I14" s="24"/>
      <c r="J14" s="3" t="str">
        <f>IF(H$13="Fatigué", "2x[2+2+1]", IF(H$13="Normal", "3x[2+2+1]", IF(H$13="En Forme", "3x[2+2+1]", "0")))</f>
        <v>3x[2+2+1]</v>
      </c>
      <c r="K14" s="3">
        <f>IF(H$13="Fatigué", $C$11*0.6, IF(H$13="Normal", $C$11*0.65, IF(H$13="En Forme", $C$11*0.68, "0")))</f>
        <v>100.75</v>
      </c>
      <c r="L14" s="23"/>
      <c r="M14" s="24"/>
      <c r="N14" s="3" t="str">
        <f>IF(L$13="Fatigué", "2x[2+2+1]", IF(L$13="Normal", "3x[2+2+1]", IF(L$13="En Forme", "3x[2+2+1]", "0")))</f>
        <v>3x[2+2+1]</v>
      </c>
      <c r="O14" s="3">
        <f>IF(L$13="Fatigué", $C$11*0.62, IF(L$13="Normal", $C$11*0.67, IF(L$13="En Forme", $C$11*0.7, "0")))</f>
        <v>103.85000000000001</v>
      </c>
      <c r="P14" s="3" t="s">
        <v>25</v>
      </c>
      <c r="Q14" s="3" t="s">
        <v>17</v>
      </c>
      <c r="R14" s="33"/>
      <c r="S14" s="33"/>
      <c r="T14" s="37"/>
      <c r="U14" s="37"/>
      <c r="V14" s="33"/>
      <c r="W14" s="33"/>
    </row>
    <row r="15" spans="1:23" ht="27" customHeight="1" thickBot="1" x14ac:dyDescent="0.25">
      <c r="A15" s="10" t="s">
        <v>9</v>
      </c>
      <c r="B15" s="11"/>
      <c r="C15" s="9">
        <v>170</v>
      </c>
      <c r="E15" s="15" t="s">
        <v>46</v>
      </c>
      <c r="F15" s="16"/>
      <c r="G15" s="16"/>
      <c r="J15" s="3" t="str">
        <f>IF(H$13="Fatigué", "3x2", IF(H$13="Normal", "4x2", IF(H$13="En Forme", "4x2", "0")))</f>
        <v>4x2</v>
      </c>
      <c r="K15" s="3">
        <f>IF(H$13="Fatigué", $C$11*0.7, IF(H$13="Normal", $C$11*0.75, IF(H$13="En Forme", $C$11*0.8, "0")))</f>
        <v>116.25</v>
      </c>
      <c r="N15" s="3" t="str">
        <f>IF(L$13="Fatigué", "3x2", IF(L$13="Normal", "4x2", IF(L$13="En Forme", "4x2", "0")))</f>
        <v>4x2</v>
      </c>
      <c r="O15" s="3">
        <f>IF(L$13="Fatigué", $C$11*0.72, IF(L$13="Normal", $C$11*0.77, IF(L$13="En Forme", $C$11*0.82, "0")))</f>
        <v>119.35000000000001</v>
      </c>
      <c r="P15" s="3" t="s">
        <v>26</v>
      </c>
      <c r="Q15" s="3" t="s">
        <v>17</v>
      </c>
      <c r="R15" s="33"/>
      <c r="S15" s="33"/>
      <c r="T15" s="33"/>
      <c r="U15" s="33"/>
      <c r="V15" s="33"/>
      <c r="W15" s="33"/>
    </row>
    <row r="16" spans="1:23" ht="27" customHeight="1" thickBot="1" x14ac:dyDescent="0.25">
      <c r="C16" s="8"/>
      <c r="E16" s="15" t="s">
        <v>6</v>
      </c>
      <c r="F16" s="16"/>
      <c r="G16" s="16"/>
      <c r="J16" s="3" t="str">
        <f>IF(H$13="Fatigué", "3x1", IF(H$13="Normal", "3x1", IF(H$13="En Forme", "4x1", "0")))</f>
        <v>3x1</v>
      </c>
      <c r="K16" s="3">
        <f>IF(H$13="Fatigué", $C$9*0.85, IF(H$13="Normal", $C$9*0.9, IF(H$13="En Forme", $C$9*0.93, "0")))</f>
        <v>112.5</v>
      </c>
      <c r="N16" s="3" t="str">
        <f>IF(L$13="Fatigué", "3x1", IF(L$13="Normal", "3x1", IF(L$13="En Forme", "4x1", "0")))</f>
        <v>3x1</v>
      </c>
      <c r="O16" s="3">
        <f>IF(L$13="Fatigué", $C$9*0.87, IF(L$13="Normal", $C$9*0.92, IF(L$13="En Forme", $C$9*0.95, "0")))</f>
        <v>115</v>
      </c>
      <c r="P16" s="3" t="s">
        <v>31</v>
      </c>
      <c r="Q16" s="3" t="s">
        <v>16</v>
      </c>
      <c r="R16" s="33"/>
      <c r="S16" s="33"/>
      <c r="T16" s="33"/>
      <c r="U16" s="33"/>
      <c r="V16" s="33"/>
      <c r="W16" s="33"/>
    </row>
    <row r="17" spans="1:23" ht="27" customHeight="1" thickBot="1" x14ac:dyDescent="0.25">
      <c r="A17" s="10" t="s">
        <v>10</v>
      </c>
      <c r="B17" s="11"/>
      <c r="C17" s="2">
        <v>210</v>
      </c>
      <c r="D17" s="6"/>
      <c r="E17" s="15" t="s">
        <v>48</v>
      </c>
      <c r="F17" s="16"/>
      <c r="G17" s="16"/>
      <c r="J17" s="3" t="str">
        <f>IF(H$13="Fatigué", "2x3", IF(H$13="Normal", "2x3", IF(H$13="En Forme", "3x3", "0")))</f>
        <v>2x3</v>
      </c>
      <c r="K17" s="3">
        <f>IF(H$13="Fatigué", $C$9*0.9, IF(H$13="Normal", $C$9*0.95, IF(H$13="En Forme", $C$9*1, "0")))</f>
        <v>118.75</v>
      </c>
      <c r="N17" s="3" t="str">
        <f>IF(L$13="Fatigué", "2x3", IF(L$13="Normal", "2x3", IF(L$13="En Forme", "3x3", "0")))</f>
        <v>2x3</v>
      </c>
      <c r="O17" s="3">
        <f>IF(L$13="Fatigué", $C$9*0.92, IF(L$13="Normal", $C$9*0.97, IF(L$13="En Forme", $C$9*1.02, "0")))</f>
        <v>121.25</v>
      </c>
      <c r="R17" s="33"/>
      <c r="S17" s="33"/>
      <c r="T17" s="33"/>
      <c r="U17" s="33"/>
      <c r="V17" s="33"/>
      <c r="W17" s="33"/>
    </row>
    <row r="18" spans="1:23" ht="27" customHeight="1" thickBot="1" x14ac:dyDescent="0.25">
      <c r="C18" s="8"/>
      <c r="E18" s="15" t="s">
        <v>58</v>
      </c>
      <c r="F18" s="16"/>
      <c r="G18" s="16"/>
      <c r="J18" s="3" t="str">
        <f>IF(H$13="Fatigué", "3x5", IF(H$13="Normal", "4x5", IF(H$13="En Forme", "4x5", "0")))</f>
        <v>4x5</v>
      </c>
      <c r="K18" s="3">
        <f>IF(H$13="Fatigué", $C$19*0.65, IF(H$13="Normal", $C$19*0.7, IF(H$13="En Forme", $C$19*0.75, "0")))</f>
        <v>125.99999999999999</v>
      </c>
      <c r="N18" s="3" t="str">
        <f>IF(L$13="Fatigué", "3x5", IF(L$13="Normal", "4x5", IF(L$13="En Forme", "4x5", "0")))</f>
        <v>4x5</v>
      </c>
      <c r="O18" s="3">
        <f>IF(L$13="Fatigué", $C$19*0.67, IF(L$13="Normal", $C$19*0.72, IF(L$13="En Forme", $C$19*0.77, "0")))</f>
        <v>129.6</v>
      </c>
      <c r="R18" s="33"/>
      <c r="S18" s="33"/>
      <c r="T18" s="33"/>
      <c r="U18" s="33"/>
      <c r="V18" s="33"/>
      <c r="W18" s="33"/>
    </row>
    <row r="19" spans="1:23" ht="27" customHeight="1" thickBot="1" x14ac:dyDescent="0.25">
      <c r="A19" s="10" t="s">
        <v>11</v>
      </c>
      <c r="B19" s="11"/>
      <c r="C19" s="5">
        <v>180</v>
      </c>
      <c r="D19" s="6"/>
      <c r="E19" s="26" t="s">
        <v>41</v>
      </c>
      <c r="F19" s="27"/>
      <c r="G19" s="28"/>
      <c r="H19" s="20" t="s">
        <v>13</v>
      </c>
      <c r="I19" s="21"/>
      <c r="J19" s="7" t="s">
        <v>0</v>
      </c>
      <c r="K19" s="7" t="s">
        <v>1</v>
      </c>
      <c r="L19" s="20" t="s">
        <v>13</v>
      </c>
      <c r="M19" s="21"/>
      <c r="N19" s="7" t="s">
        <v>0</v>
      </c>
      <c r="O19" s="7" t="s">
        <v>1</v>
      </c>
      <c r="P19" s="11" t="s">
        <v>14</v>
      </c>
      <c r="Q19" s="7" t="s">
        <v>0</v>
      </c>
      <c r="R19" s="36"/>
      <c r="S19" s="36"/>
      <c r="T19" s="35"/>
      <c r="U19" s="35"/>
      <c r="V19" s="36"/>
      <c r="W19" s="36"/>
    </row>
    <row r="20" spans="1:23" ht="27" customHeight="1" x14ac:dyDescent="0.2">
      <c r="E20" s="18" t="s">
        <v>10</v>
      </c>
      <c r="F20" s="19"/>
      <c r="G20" s="19"/>
      <c r="H20" s="18" t="s">
        <v>15</v>
      </c>
      <c r="I20" s="22"/>
      <c r="J20" s="3" t="str">
        <f>IF(H$20="Fatigué", "4x5", IF(H$20="Normal", "5x5", IF(H$20="En Forme", "5x5", "0")))</f>
        <v>5x5</v>
      </c>
      <c r="K20" s="3">
        <f>IF(H$20="Fatigué", $C$17*0.72, IF(H$20="Normal", $C$17*0.77, IF(H$20="En Forme", $C$17*0.8, "0")))</f>
        <v>161.70000000000002</v>
      </c>
      <c r="L20" s="18" t="s">
        <v>15</v>
      </c>
      <c r="M20" s="22"/>
      <c r="N20" s="3" t="str">
        <f>IF(L$20="Fatigué", "4x5", IF(L$20="Normal", "5x5", IF(L$20="En Forme", "5x5", "0")))</f>
        <v>5x5</v>
      </c>
      <c r="O20" s="3">
        <f>IF(L$20="Fatigué", $C$17*0.74, IF(L$20="Normal", $C$17*0.79, IF(L$20="En Forme", $C$17*0.82, "0")))</f>
        <v>165.9</v>
      </c>
      <c r="P20" s="3" t="s">
        <v>27</v>
      </c>
      <c r="Q20" s="3" t="s">
        <v>17</v>
      </c>
      <c r="R20" s="33"/>
      <c r="S20" s="33"/>
      <c r="T20" s="37"/>
      <c r="U20" s="37"/>
      <c r="V20" s="33"/>
      <c r="W20" s="33"/>
    </row>
    <row r="21" spans="1:23" ht="27" customHeight="1" thickBot="1" x14ac:dyDescent="0.25">
      <c r="D21" s="13"/>
      <c r="E21" s="15" t="s">
        <v>47</v>
      </c>
      <c r="F21" s="16"/>
      <c r="G21" s="16"/>
      <c r="H21" s="23"/>
      <c r="I21" s="24"/>
      <c r="J21" s="3" t="str">
        <f>IF(H$20="Fatigué", "3x2", IF(H$20="Normal", "4x2", IF(H$20="En Forme", "4x2", "0")))</f>
        <v>4x2</v>
      </c>
      <c r="K21" s="3">
        <f>IF(H$20="Fatigué", $C$9*0.75, IF(H$20="Normal", $C$9*0.8, IF(H$20="En Forme", $C$9*0.85, "0")))</f>
        <v>100</v>
      </c>
      <c r="L21" s="23"/>
      <c r="M21" s="24"/>
      <c r="N21" s="3" t="str">
        <f>IF(L$20="Fatigué", "3x2", IF(L$20="Normal", "4x2", IF(L$20="En Forme", "4x2", "0")))</f>
        <v>4x2</v>
      </c>
      <c r="O21" s="3">
        <f>IF(L$20="Fatigué", $C$9*0.77, IF(L$20="Normal", $C$9*0.82, IF(L$20="En Forme", $C$9*0.87, "0")))</f>
        <v>102.5</v>
      </c>
      <c r="P21" s="3" t="s">
        <v>33</v>
      </c>
      <c r="Q21" s="3" t="s">
        <v>34</v>
      </c>
      <c r="R21" s="33"/>
      <c r="S21" s="33"/>
      <c r="T21" s="37"/>
      <c r="U21" s="37"/>
      <c r="V21" s="33"/>
      <c r="W21" s="33"/>
    </row>
    <row r="22" spans="1:23" ht="27" customHeight="1" x14ac:dyDescent="0.2">
      <c r="E22" s="15" t="s">
        <v>48</v>
      </c>
      <c r="F22" s="16"/>
      <c r="G22" s="16"/>
      <c r="J22" s="3" t="str">
        <f>IF(H$20="Fatigué", "2x2", IF(H$20="Normal", "2x2", IF(H$20="En Forme", "2x2", "0")))</f>
        <v>2x2</v>
      </c>
      <c r="K22" s="3">
        <f>IF(H$20="Fatigué", $C$9*0.98, IF(H$20="Normal", $C$9*1.03, IF(H$20="En Forme", $C$9*1.06, "0")))</f>
        <v>128.75</v>
      </c>
      <c r="N22" s="3" t="str">
        <f>IF(L$20="Fatigué", "2x2", IF(L$20="Normal", "2x2", IF(L$20="En Forme", "2x2", "0")))</f>
        <v>2x2</v>
      </c>
      <c r="O22" s="3">
        <f>IF(L$20="Fatigué", $C$9*1, IF(L$20="Normal", $C$9*1.05, IF(L$20="En Forme", $C$9*1.08, "0")))</f>
        <v>131.25</v>
      </c>
      <c r="P22" s="3" t="s">
        <v>35</v>
      </c>
      <c r="Q22" s="3" t="s">
        <v>16</v>
      </c>
      <c r="R22" s="33"/>
      <c r="S22" s="33"/>
      <c r="T22" s="33"/>
      <c r="U22" s="33"/>
      <c r="V22" s="33"/>
      <c r="W22" s="33"/>
    </row>
    <row r="23" spans="1:23" ht="27" customHeight="1" x14ac:dyDescent="0.2">
      <c r="D23" s="13"/>
      <c r="E23" s="15" t="s">
        <v>49</v>
      </c>
      <c r="F23" s="16"/>
      <c r="G23" s="16"/>
      <c r="J23" s="3" t="str">
        <f>IF(H$20="Fatigué", "2x5", IF(H$20="Normal", "3x5", IF(H$20="En Forme", "3x5", "0")))</f>
        <v>3x5</v>
      </c>
      <c r="K23" s="3">
        <f>IF(H$20="Fatigué", $C$11*0.55, IF(H$20="Normal", $C$11*0.6, IF(H$20="En Forme", $C$11*0.65, "0")))</f>
        <v>93</v>
      </c>
      <c r="N23" s="3" t="str">
        <f>IF(L$20="Fatigué", "2x5", IF(L$20="Normal", "3x5", IF(L$20="En Forme", "3x5", "0")))</f>
        <v>3x5</v>
      </c>
      <c r="O23" s="3">
        <f>IF(L$20="Fatigué", $C$11*0.57, IF(L$20="Normal", $C$11*0.62, IF(L$20="En Forme", $C$11*0.67, "0")))</f>
        <v>96.1</v>
      </c>
      <c r="P23" s="3" t="s">
        <v>36</v>
      </c>
      <c r="Q23" s="3" t="s">
        <v>16</v>
      </c>
      <c r="R23" s="33"/>
      <c r="S23" s="33"/>
      <c r="T23" s="33"/>
      <c r="U23" s="33"/>
      <c r="V23" s="33"/>
      <c r="W23" s="33"/>
    </row>
    <row r="24" spans="1:23" ht="27" customHeight="1" x14ac:dyDescent="0.2">
      <c r="E24" s="15"/>
      <c r="F24" s="16"/>
      <c r="G24" s="16"/>
      <c r="R24" s="33"/>
      <c r="S24" s="33"/>
      <c r="T24" s="33"/>
      <c r="U24" s="33"/>
      <c r="V24" s="33"/>
      <c r="W24" s="33"/>
    </row>
    <row r="25" spans="1:23" ht="27" customHeight="1" thickBot="1" x14ac:dyDescent="0.25">
      <c r="E25" s="17"/>
      <c r="F25" s="17"/>
      <c r="G25" s="17"/>
      <c r="K25" s="4"/>
      <c r="R25" s="33"/>
      <c r="S25" s="33"/>
      <c r="T25" s="33"/>
      <c r="U25" s="33"/>
      <c r="V25" s="33"/>
      <c r="W25" s="33"/>
    </row>
    <row r="26" spans="1:23" ht="27" customHeight="1" thickBot="1" x14ac:dyDescent="0.25">
      <c r="E26" s="26" t="s">
        <v>40</v>
      </c>
      <c r="F26" s="27"/>
      <c r="G26" s="28"/>
      <c r="H26" s="20" t="s">
        <v>13</v>
      </c>
      <c r="I26" s="21"/>
      <c r="J26" s="7" t="s">
        <v>0</v>
      </c>
      <c r="K26" s="7" t="s">
        <v>1</v>
      </c>
      <c r="L26" s="20" t="s">
        <v>13</v>
      </c>
      <c r="M26" s="21"/>
      <c r="N26" s="7" t="s">
        <v>0</v>
      </c>
      <c r="O26" s="10" t="s">
        <v>1</v>
      </c>
      <c r="P26" s="7" t="s">
        <v>14</v>
      </c>
      <c r="Q26" s="7" t="s">
        <v>0</v>
      </c>
      <c r="R26" s="36"/>
      <c r="S26" s="36"/>
      <c r="T26" s="35"/>
      <c r="U26" s="35"/>
      <c r="V26" s="36"/>
      <c r="W26" s="36"/>
    </row>
    <row r="27" spans="1:23" ht="27" customHeight="1" x14ac:dyDescent="0.2">
      <c r="E27" s="18" t="s">
        <v>50</v>
      </c>
      <c r="F27" s="19"/>
      <c r="G27" s="19"/>
      <c r="H27" s="18" t="s">
        <v>15</v>
      </c>
      <c r="I27" s="22"/>
      <c r="J27" s="3" t="str">
        <f>IF(H$27="Fatigué", "2x3", IF(H$27="Normal", "3x3", IF(H$27="En Forme", "3x3", "0")))</f>
        <v>3x3</v>
      </c>
      <c r="K27" s="3">
        <f>IF(H$27="Fatigué", $C$11*0.25, IF(H$27="Normal", $C$11*0.3, IF(H$27="En Forme", $C$11*0.35, "0")))</f>
        <v>46.5</v>
      </c>
      <c r="L27" s="18" t="s">
        <v>15</v>
      </c>
      <c r="M27" s="22"/>
      <c r="N27" s="3" t="str">
        <f>IF(L$27="Fatigué", "2x3", IF(L$27="Normal", "3x3", IF(L$27="En Forme", "3x3", "0")))</f>
        <v>3x3</v>
      </c>
      <c r="O27" s="3">
        <f>IF(L$27="Fatigué", $C$11*0.27, IF(L$27="Normal", $C$11*0.32, IF(L$27="En Forme", $C$11*0.37, "0")))</f>
        <v>49.6</v>
      </c>
      <c r="P27" s="3" t="s">
        <v>28</v>
      </c>
      <c r="Q27" s="3" t="s">
        <v>16</v>
      </c>
      <c r="R27" s="33"/>
      <c r="S27" s="33"/>
      <c r="T27" s="37"/>
      <c r="U27" s="37"/>
      <c r="V27" s="33"/>
      <c r="W27" s="33"/>
    </row>
    <row r="28" spans="1:23" ht="27" customHeight="1" thickBot="1" x14ac:dyDescent="0.25">
      <c r="E28" s="15" t="s">
        <v>59</v>
      </c>
      <c r="F28" s="16"/>
      <c r="G28" s="16"/>
      <c r="H28" s="23"/>
      <c r="I28" s="24"/>
      <c r="J28" s="3" t="str">
        <f>IF(H$27="Fatigué", "2x2", IF(H$27="Normal", "3x2", IF(H$27="En Forme", "3x2", "0")))</f>
        <v>3x2</v>
      </c>
      <c r="K28" s="3">
        <f>IF(H$27="Fatigué", $C$11*0.57, IF(H$27="Normal", $C$11*0.62, IF(H$27="En Forme", $C$11*0.65, "0")))</f>
        <v>96.1</v>
      </c>
      <c r="L28" s="23"/>
      <c r="M28" s="24"/>
      <c r="N28" s="3" t="str">
        <f>IF(L$27="Fatigué", "2x2", IF(L$27="Normal", "3x2", IF(L$27="En Forme", "3x2", "0")))</f>
        <v>3x2</v>
      </c>
      <c r="O28" s="3">
        <f>IF(L$27="Fatigué", $C$11*0.59, IF(L$27="Normal", $C$11*0.64, IF(L$27="En Forme", $C$11*0.67, "0")))</f>
        <v>99.2</v>
      </c>
      <c r="P28" s="3" t="s">
        <v>32</v>
      </c>
      <c r="Q28" s="3" t="s">
        <v>16</v>
      </c>
      <c r="R28" s="33"/>
      <c r="S28" s="33"/>
      <c r="T28" s="37"/>
      <c r="U28" s="37"/>
      <c r="V28" s="33"/>
      <c r="W28" s="33"/>
    </row>
    <row r="29" spans="1:23" ht="27" customHeight="1" x14ac:dyDescent="0.2">
      <c r="E29" s="15" t="s">
        <v>51</v>
      </c>
      <c r="F29" s="16"/>
      <c r="G29" s="16"/>
      <c r="J29" s="3" t="str">
        <f>IF(H$27="Fatigué", "2x3", IF(H$27="Normal", "3x3", IF(H$27="En Forme", "3x3", "0")))</f>
        <v>3x3</v>
      </c>
      <c r="K29" s="3">
        <f>IF(H$27="Fatigué", $C$15*0.72, IF(H$27="Normal", $C$15*0.77, IF(H$27="En Forme", $C$15*0.8, "0")))</f>
        <v>130.9</v>
      </c>
      <c r="N29" s="3" t="str">
        <f>IF(L$27="Fatigué", "2x3", IF(L$27="Normal", "3x3", IF(L$27="En Forme", "3x3", "0")))</f>
        <v>3x3</v>
      </c>
      <c r="O29" s="3">
        <f>IF(L$27="Fatigué", $C$15*0.74, IF(L$27="Normal", $C$15*0.79, IF(L$27="En Forme", $C$15*0.82, "0")))</f>
        <v>134.30000000000001</v>
      </c>
      <c r="R29" s="33"/>
      <c r="S29" s="33"/>
      <c r="T29" s="33"/>
      <c r="U29" s="33"/>
      <c r="V29" s="33"/>
      <c r="W29" s="33"/>
    </row>
    <row r="30" spans="1:23" ht="27" customHeight="1" x14ac:dyDescent="0.2">
      <c r="E30" s="15" t="s">
        <v>52</v>
      </c>
      <c r="F30" s="16"/>
      <c r="G30" s="16"/>
      <c r="J30" s="3" t="str">
        <f>IF(H$27="Fatigué", "2x3", IF(H$27="Normal", "3x3", IF(H$27="En Forme", "3x3", "0")))</f>
        <v>3x3</v>
      </c>
      <c r="K30" s="3">
        <f>IF(H$27="Fatigué", $C$9*0.52, IF(H$27="Normal", $C$9*0.57, IF(H$27="En Forme", $C$9*0.6, "0")))</f>
        <v>71.25</v>
      </c>
      <c r="N30" s="3" t="str">
        <f>IF(L$27="Fatigué", "2x3", IF(L$27="Normal", "3x3", IF(L$27="En Forme", "3x3", "0")))</f>
        <v>3x3</v>
      </c>
      <c r="O30" s="3">
        <f>IF(L$27="Fatigué", $C$9*0.54, IF(L$27="Normal", $C$9*0.59, IF(L$27="En Forme", $C$9*0.62, "0")))</f>
        <v>73.75</v>
      </c>
      <c r="R30" s="33"/>
      <c r="S30" s="33"/>
      <c r="T30" s="33"/>
      <c r="U30" s="33"/>
      <c r="V30" s="33"/>
      <c r="W30" s="33"/>
    </row>
    <row r="31" spans="1:23" ht="27" customHeight="1" x14ac:dyDescent="0.2">
      <c r="E31" s="15" t="s">
        <v>53</v>
      </c>
      <c r="F31" s="16"/>
      <c r="G31" s="16"/>
      <c r="J31" s="3" t="str">
        <f>IF(H$27="Fatigué", "3x2", IF(H$27="Normal", "3x2", IF(H$27="En Forme", "4x2", "0")))</f>
        <v>3x2</v>
      </c>
      <c r="K31" s="3">
        <f>IF(H$27="Fatigué", $C$9*0.7, IF(H$27="Normal", $C$9*0.75, IF(H$27="En Forme", $C$9*0.8, "0")))</f>
        <v>93.75</v>
      </c>
      <c r="N31" s="3" t="str">
        <f>IF(L$27="Fatigué", "3x2", IF(L$27="Normal", "3x2", IF(L$27="En Forme", "4x2", "0")))</f>
        <v>3x2</v>
      </c>
      <c r="O31" s="3">
        <f>IF(L$27="Fatigué", $C$9*0.72, IF(L$27="Normal", $C$9*0.77, IF(L$27="En Forme", $C$9*0.82, "0")))</f>
        <v>96.25</v>
      </c>
      <c r="R31" s="33"/>
      <c r="S31" s="33"/>
      <c r="T31" s="33"/>
      <c r="U31" s="33"/>
      <c r="V31" s="33"/>
      <c r="W31" s="33"/>
    </row>
    <row r="32" spans="1:23" ht="27" customHeight="1" x14ac:dyDescent="0.2">
      <c r="E32" s="15"/>
      <c r="F32" s="16"/>
      <c r="G32" s="16"/>
      <c r="R32" s="33"/>
      <c r="S32" s="33"/>
      <c r="T32" s="33"/>
      <c r="U32" s="33"/>
      <c r="V32" s="33"/>
      <c r="W32" s="33"/>
    </row>
    <row r="33" spans="5:23" ht="27" customHeight="1" thickBot="1" x14ac:dyDescent="0.25">
      <c r="E33" s="17"/>
      <c r="F33" s="17"/>
      <c r="G33" s="17"/>
      <c r="J33" s="1"/>
      <c r="K33" s="1"/>
      <c r="N33" s="1"/>
      <c r="O33" s="1"/>
      <c r="R33" s="36"/>
      <c r="S33" s="36"/>
      <c r="T33" s="33"/>
      <c r="U33" s="33"/>
      <c r="V33" s="36"/>
      <c r="W33" s="36"/>
    </row>
    <row r="34" spans="5:23" ht="27" customHeight="1" thickBot="1" x14ac:dyDescent="0.25">
      <c r="E34" s="26" t="s">
        <v>39</v>
      </c>
      <c r="F34" s="27"/>
      <c r="G34" s="28"/>
      <c r="H34" s="20" t="s">
        <v>13</v>
      </c>
      <c r="I34" s="21"/>
      <c r="J34" s="7" t="s">
        <v>0</v>
      </c>
      <c r="K34" s="7" t="s">
        <v>1</v>
      </c>
      <c r="L34" s="20" t="s">
        <v>13</v>
      </c>
      <c r="M34" s="21"/>
      <c r="N34" s="7" t="s">
        <v>0</v>
      </c>
      <c r="O34" s="10" t="s">
        <v>1</v>
      </c>
      <c r="P34" s="7" t="s">
        <v>14</v>
      </c>
      <c r="Q34" s="7" t="s">
        <v>0</v>
      </c>
      <c r="R34" s="36"/>
      <c r="S34" s="36"/>
      <c r="T34" s="35"/>
      <c r="U34" s="35"/>
      <c r="V34" s="36"/>
      <c r="W34" s="36"/>
    </row>
    <row r="35" spans="5:23" ht="27" customHeight="1" x14ac:dyDescent="0.2">
      <c r="E35" s="18" t="s">
        <v>54</v>
      </c>
      <c r="F35" s="19"/>
      <c r="G35" s="22"/>
      <c r="H35" s="18" t="s">
        <v>15</v>
      </c>
      <c r="I35" s="22"/>
      <c r="J35" s="3" t="str">
        <f>IF(H$35="Fatigué", "2x2", IF(H$35="Normal", "3x2", IF(H$35="En Forme", "3x2", "0")))</f>
        <v>3x2</v>
      </c>
      <c r="K35" s="3">
        <f>IF(H$35="Fatigué", $C$9*0.77, IF(H$35="Normal", $C$9*0.82, IF(H$35="En Forme", $C$9*0.85, "0")))</f>
        <v>102.5</v>
      </c>
      <c r="L35" s="18" t="s">
        <v>15</v>
      </c>
      <c r="M35" s="22"/>
      <c r="N35" s="3" t="str">
        <f>IF(L$35="Fatigué", "2x2", IF(L$35="Normal", "3x2", IF(L$35="En Forme", "3x2", "0")))</f>
        <v>3x2</v>
      </c>
      <c r="O35" s="3">
        <f>IF(L$35="Fatigué", $C$9*0.79, IF(L$35="Normal", $C$9*0.84, IF(L$35="En Forme", $C$9*0.87, "0")))</f>
        <v>105</v>
      </c>
      <c r="P35" s="3" t="s">
        <v>22</v>
      </c>
      <c r="Q35" s="3" t="s">
        <v>16</v>
      </c>
      <c r="R35" s="33"/>
      <c r="S35" s="33"/>
      <c r="T35" s="37"/>
      <c r="U35" s="37"/>
      <c r="V35" s="33"/>
      <c r="W35" s="33"/>
    </row>
    <row r="36" spans="5:23" ht="27" customHeight="1" thickBot="1" x14ac:dyDescent="0.25">
      <c r="E36" s="15" t="s">
        <v>54</v>
      </c>
      <c r="F36" s="16"/>
      <c r="G36" s="25"/>
      <c r="H36" s="23"/>
      <c r="I36" s="24"/>
      <c r="J36" s="3" t="str">
        <f>IF(H$27="Fatigué", "1x1", IF(H$27="Normal", "2x1", IF(H$27="En Forme", "2x1", "0")))</f>
        <v>2x1</v>
      </c>
      <c r="K36" s="3">
        <f>IF(H$27="Fatigué", $C$9*0.87, IF(H$27="Normal", $C$9*0.92, IF(H$27="En Forme", $C$9*0.95, "0")))</f>
        <v>115</v>
      </c>
      <c r="L36" s="23"/>
      <c r="M36" s="24"/>
      <c r="N36" s="3" t="str">
        <f>IF(L$27="Fatigué", "1x1", IF(L$27="Normal", "2x1", IF(L$27="En Forme", "2x1", "0")))</f>
        <v>2x1</v>
      </c>
      <c r="O36" s="3">
        <f>IF(L$27="Fatigué", $C$9*0.89, IF(L$27="Normal", $C$9*0.94, IF(L$27="En Forme", $C$9*0.97, "0")))</f>
        <v>117.5</v>
      </c>
      <c r="P36" s="3" t="s">
        <v>23</v>
      </c>
      <c r="Q36" s="3" t="s">
        <v>17</v>
      </c>
      <c r="R36" s="33"/>
      <c r="S36" s="33"/>
      <c r="T36" s="37"/>
      <c r="U36" s="37"/>
      <c r="V36" s="33"/>
      <c r="W36" s="33"/>
    </row>
    <row r="37" spans="5:23" ht="27" customHeight="1" x14ac:dyDescent="0.2">
      <c r="E37" s="15" t="s">
        <v>21</v>
      </c>
      <c r="F37" s="16"/>
      <c r="G37" s="16"/>
      <c r="J37" s="3" t="str">
        <f>IF(H$27="Fatigué", "2x2", IF(H$27="Normal", "3x2", IF(H$27="En Forme", "3x2", "0")))</f>
        <v>3x2</v>
      </c>
      <c r="K37" s="3">
        <f>IF(H$27="Fatigué", $C$11*0.8, IF(H$27="Normal", $C$11*0.85, IF(H$27="En Forme", $C$11*0.88, "0")))</f>
        <v>131.75</v>
      </c>
      <c r="N37" s="3" t="str">
        <f>IF(L$27="Fatigué", "2x2", IF(L$27="Normal", "3x2", IF(L$27="En Forme", "3x2", "0")))</f>
        <v>3x2</v>
      </c>
      <c r="O37" s="3">
        <f>IF(L$27="Fatigué", $C$11*0.82, IF(L$27="Normal", $C$11*0.87, IF(L$27="En Forme", $C$11*0.9, "0")))</f>
        <v>134.85</v>
      </c>
      <c r="P37" s="3" t="s">
        <v>24</v>
      </c>
      <c r="Q37" s="3" t="s">
        <v>16</v>
      </c>
      <c r="R37" s="33"/>
      <c r="S37" s="33"/>
      <c r="T37" s="33"/>
      <c r="U37" s="33"/>
      <c r="V37" s="33"/>
      <c r="W37" s="33"/>
    </row>
    <row r="38" spans="5:23" ht="27" customHeight="1" x14ac:dyDescent="0.2">
      <c r="E38" s="15" t="s">
        <v>21</v>
      </c>
      <c r="F38" s="16"/>
      <c r="G38" s="16"/>
      <c r="J38" s="3" t="str">
        <f>IF(H$27="Fatigué", "2x1", IF(H$27="Normal", "3x1", IF(H$27="En Forme", "3x1", "0")))</f>
        <v>3x1</v>
      </c>
      <c r="K38" s="3">
        <f>IF(H$27="Fatigué", $C$11*0.85, IF(H$27="Normal", $C$11*0.9, IF(H$27="En Forme", $C$11*0.93, "0")))</f>
        <v>139.5</v>
      </c>
      <c r="N38" s="3" t="str">
        <f>IF(L$27="Fatigué", "2x1", IF(L$27="Normal", "3x1", IF(L$27="En Forme", "3x1", "0")))</f>
        <v>3x1</v>
      </c>
      <c r="O38" s="3">
        <f>IF(L$27="Fatigué", $C$11*0.87, IF(L$27="Normal", $C$11*0.92, IF(L$27="En Forme", $C$11*0.95, "0")))</f>
        <v>142.6</v>
      </c>
      <c r="P38" s="33"/>
      <c r="Q38" s="33"/>
      <c r="R38" s="33"/>
      <c r="S38" s="33"/>
      <c r="T38" s="33"/>
      <c r="U38" s="33"/>
      <c r="V38" s="33"/>
      <c r="W38" s="33"/>
    </row>
    <row r="39" spans="5:23" ht="27" customHeight="1" x14ac:dyDescent="0.2">
      <c r="E39" s="15" t="s">
        <v>60</v>
      </c>
      <c r="F39" s="16"/>
      <c r="G39" s="16"/>
      <c r="J39" s="3" t="str">
        <f>IF(H$27="Fatigué", "2x10", IF(H$27="Normal", "3x10", IF(H$27="En Forme", "3x10", "0")))</f>
        <v>3x10</v>
      </c>
      <c r="K39" s="3">
        <f>IF(H$27="Fatigué", $C$19*0.4, IF(H$27="Normal", $C$19*0.45, IF(H$27="En Forme", $C$19*0.5, "0")))</f>
        <v>81</v>
      </c>
      <c r="N39" s="3" t="str">
        <f>IF(L$27="Fatigué", "2x10", IF(L$27="Normal", "3x10", IF(L$27="En Forme", "3x10", "0")))</f>
        <v>3x10</v>
      </c>
      <c r="O39" s="3">
        <f>IF(L$27="Fatigué", $C$19*0.42, IF(L$27="Normal", $C$19*0.47, IF(L$27="En Forme", $C$19*0.52, "0")))</f>
        <v>84.6</v>
      </c>
      <c r="P39" s="33"/>
      <c r="Q39" s="33"/>
      <c r="R39" s="33"/>
      <c r="S39" s="33"/>
      <c r="T39" s="33"/>
      <c r="U39" s="33"/>
      <c r="V39" s="33"/>
      <c r="W39" s="33"/>
    </row>
    <row r="40" spans="5:23" ht="27" customHeight="1" x14ac:dyDescent="0.2">
      <c r="E40" s="15"/>
      <c r="F40" s="16"/>
      <c r="G40" s="16"/>
      <c r="K40" s="4"/>
      <c r="P40" s="33"/>
      <c r="Q40" s="33"/>
      <c r="R40" s="33"/>
      <c r="S40" s="33"/>
      <c r="T40" s="33"/>
      <c r="U40" s="33"/>
      <c r="V40" s="33"/>
      <c r="W40" s="33"/>
    </row>
    <row r="41" spans="5:23" ht="27" customHeight="1" x14ac:dyDescent="0.2">
      <c r="E41" s="15"/>
      <c r="F41" s="16"/>
      <c r="G41" s="16"/>
      <c r="J41" s="1"/>
      <c r="K41" s="1"/>
      <c r="N41" s="1"/>
      <c r="O41" s="1"/>
      <c r="R41" s="1"/>
      <c r="S41" s="1"/>
      <c r="V41" s="1"/>
      <c r="W41" s="1"/>
    </row>
  </sheetData>
  <mergeCells count="75">
    <mergeCell ref="E37:G37"/>
    <mergeCell ref="E38:G38"/>
    <mergeCell ref="E39:G39"/>
    <mergeCell ref="E40:G40"/>
    <mergeCell ref="E41:G41"/>
    <mergeCell ref="H34:I34"/>
    <mergeCell ref="L34:M34"/>
    <mergeCell ref="T34:U34"/>
    <mergeCell ref="E35:G35"/>
    <mergeCell ref="H35:I36"/>
    <mergeCell ref="L35:M36"/>
    <mergeCell ref="T35:U36"/>
    <mergeCell ref="E36:G36"/>
    <mergeCell ref="E29:G29"/>
    <mergeCell ref="E30:G30"/>
    <mergeCell ref="E31:G31"/>
    <mergeCell ref="E32:G32"/>
    <mergeCell ref="E33:G33"/>
    <mergeCell ref="E34:G34"/>
    <mergeCell ref="L26:M26"/>
    <mergeCell ref="T26:U26"/>
    <mergeCell ref="E27:G27"/>
    <mergeCell ref="H27:I28"/>
    <mergeCell ref="L27:M28"/>
    <mergeCell ref="T27:U28"/>
    <mergeCell ref="E28:G28"/>
    <mergeCell ref="E22:G22"/>
    <mergeCell ref="E23:G23"/>
    <mergeCell ref="E24:G24"/>
    <mergeCell ref="E25:G25"/>
    <mergeCell ref="E26:G26"/>
    <mergeCell ref="H26:I26"/>
    <mergeCell ref="L19:M19"/>
    <mergeCell ref="T19:U19"/>
    <mergeCell ref="E20:G20"/>
    <mergeCell ref="H20:I21"/>
    <mergeCell ref="L20:M21"/>
    <mergeCell ref="T20:U21"/>
    <mergeCell ref="E21:G21"/>
    <mergeCell ref="E15:G15"/>
    <mergeCell ref="E16:G16"/>
    <mergeCell ref="E17:G17"/>
    <mergeCell ref="E18:G18"/>
    <mergeCell ref="E19:G19"/>
    <mergeCell ref="H19:I19"/>
    <mergeCell ref="E13:G13"/>
    <mergeCell ref="H13:I14"/>
    <mergeCell ref="L13:M14"/>
    <mergeCell ref="T13:U14"/>
    <mergeCell ref="E14:G14"/>
    <mergeCell ref="E11:G11"/>
    <mergeCell ref="E12:G12"/>
    <mergeCell ref="H12:I12"/>
    <mergeCell ref="L12:M12"/>
    <mergeCell ref="T12:U12"/>
    <mergeCell ref="T6:U7"/>
    <mergeCell ref="A7:C7"/>
    <mergeCell ref="E7:G7"/>
    <mergeCell ref="E8:G8"/>
    <mergeCell ref="E9:G9"/>
    <mergeCell ref="E10:G10"/>
    <mergeCell ref="E5:G5"/>
    <mergeCell ref="H5:I5"/>
    <mergeCell ref="L5:M5"/>
    <mergeCell ref="T5:U5"/>
    <mergeCell ref="A6:C6"/>
    <mergeCell ref="E6:G6"/>
    <mergeCell ref="H6:I7"/>
    <mergeCell ref="L6:M7"/>
    <mergeCell ref="A1:C2"/>
    <mergeCell ref="A3:B3"/>
    <mergeCell ref="J4:K4"/>
    <mergeCell ref="N4:O4"/>
    <mergeCell ref="R4:S4"/>
    <mergeCell ref="V4:W4"/>
  </mergeCells>
  <dataValidations count="1">
    <dataValidation type="list" allowBlank="1" showInputMessage="1" showErrorMessage="1" sqref="H6:I7 H13:I14 H20:I21 H27:I28 T13:U14 L6:M7 L13:M14 L20:M21 L27:M28 T20:U21 T27:U28 T6:U7 H35:I36 L35:M36 T35:U36" xr:uid="{02D2489D-3B35-4445-95EF-14FE274F5261}">
      <formula1>"Fatigué, Normal, En Forme"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M1_Force</vt:lpstr>
      <vt:lpstr>M2_Force</vt:lpstr>
      <vt:lpstr>M3_Force</vt:lpstr>
      <vt:lpstr>M4_Force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Dominic Niemand</dc:creator>
  <cp:lastModifiedBy>Dominic Niemand</cp:lastModifiedBy>
  <dcterms:created xsi:type="dcterms:W3CDTF">2023-10-04T07:59:31Z</dcterms:created>
  <dcterms:modified xsi:type="dcterms:W3CDTF">2025-03-06T20:49:30Z</dcterms:modified>
</cp:coreProperties>
</file>